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5" yWindow="525" windowWidth="13230" windowHeight="11640"/>
  </bookViews>
  <sheets>
    <sheet name="Summary" sheetId="24" r:id="rId1"/>
    <sheet name="Province" sheetId="23" r:id="rId2"/>
    <sheet name="Hydro" sheetId="2" r:id="rId3"/>
    <sheet name="Valuation" sheetId="3" r:id="rId4"/>
    <sheet name="Tax" sheetId="15" r:id="rId5"/>
  </sheets>
  <definedNames>
    <definedName name="_xlnm.Print_Area" localSheetId="2">Hydro!#REF!</definedName>
    <definedName name="_xlnm.Print_Area" localSheetId="3">Valuation!$B$2:$J$44</definedName>
    <definedName name="solver_adj" localSheetId="3" hidden="1">Valuation!#REF!</definedName>
    <definedName name="solver_cvg" localSheetId="3" hidden="1">0.0001</definedName>
    <definedName name="solver_drv" localSheetId="3" hidden="1">1</definedName>
    <definedName name="solver_eng" localSheetId="3" hidden="1">1</definedName>
    <definedName name="solver_est" localSheetId="3" hidden="1">1</definedName>
    <definedName name="solver_itr" localSheetId="3" hidden="1">2147483647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od" localSheetId="3" hidden="1">2147483647</definedName>
    <definedName name="solver_num" localSheetId="3" hidden="1">0</definedName>
    <definedName name="solver_nwt" localSheetId="3" hidden="1">1</definedName>
    <definedName name="solver_opt" localSheetId="3" hidden="1">Valuation!#REF!</definedName>
    <definedName name="solver_pre" localSheetId="3" hidden="1">0.000001</definedName>
    <definedName name="solver_rbv" localSheetId="3" hidden="1">1</definedName>
    <definedName name="solver_rlx" localSheetId="3" hidden="1">2</definedName>
    <definedName name="solver_rsd" localSheetId="3" hidden="1">0</definedName>
    <definedName name="solver_scl" localSheetId="3" hidden="1">1</definedName>
    <definedName name="solver_sho" localSheetId="3" hidden="1">2</definedName>
    <definedName name="solver_ssz" localSheetId="3" hidden="1">100</definedName>
    <definedName name="solver_tim" localSheetId="3" hidden="1">2147483647</definedName>
    <definedName name="solver_tol" localSheetId="3" hidden="1">0.01</definedName>
    <definedName name="solver_typ" localSheetId="3" hidden="1">3</definedName>
    <definedName name="solver_val" localSheetId="3" hidden="1">0</definedName>
    <definedName name="solver_ver" localSheetId="3" hidden="1">3</definedName>
  </definedNames>
  <calcPr calcId="145621"/>
</workbook>
</file>

<file path=xl/calcChain.xml><?xml version="1.0" encoding="utf-8"?>
<calcChain xmlns="http://schemas.openxmlformats.org/spreadsheetml/2006/main">
  <c r="AC26" i="23" l="1"/>
  <c r="AC25" i="23"/>
  <c r="AC22" i="23"/>
  <c r="C8" i="23" l="1"/>
  <c r="C4" i="23"/>
  <c r="C4" i="15" s="1"/>
  <c r="C23" i="24"/>
  <c r="C22" i="24"/>
  <c r="D122" i="23"/>
  <c r="E117" i="23"/>
  <c r="G117" i="23"/>
  <c r="V69" i="2"/>
  <c r="C40" i="23" s="1"/>
  <c r="W68" i="2"/>
  <c r="W49" i="23"/>
  <c r="C12" i="23"/>
  <c r="D12" i="23" s="1"/>
  <c r="E12" i="23" s="1"/>
  <c r="F12" i="23" s="1"/>
  <c r="AC18" i="23"/>
  <c r="AC21" i="23" s="1"/>
  <c r="AC23" i="23" s="1"/>
  <c r="Y24" i="23"/>
  <c r="Y17" i="23"/>
  <c r="U18" i="23"/>
  <c r="C15" i="15"/>
  <c r="D13" i="15"/>
  <c r="C13" i="15"/>
  <c r="C34" i="3"/>
  <c r="AC28" i="23" l="1"/>
  <c r="O26" i="23" s="1"/>
  <c r="P26" i="23" s="1"/>
  <c r="O62" i="23"/>
  <c r="O21" i="23"/>
  <c r="P21" i="23" s="1"/>
  <c r="C66" i="23"/>
  <c r="G67" i="23"/>
  <c r="H67" i="23"/>
  <c r="I67" i="23"/>
  <c r="J67" i="23"/>
  <c r="K67" i="23"/>
  <c r="L67" i="23"/>
  <c r="D88" i="23" l="1"/>
  <c r="E88" i="23"/>
  <c r="F88" i="23"/>
  <c r="G88" i="23"/>
  <c r="H88" i="23"/>
  <c r="I88" i="23"/>
  <c r="J88" i="23"/>
  <c r="K88" i="23"/>
  <c r="L88" i="23"/>
  <c r="F21" i="23" l="1"/>
  <c r="C45" i="23" l="1"/>
  <c r="E21" i="23" l="1"/>
  <c r="D21" i="23"/>
  <c r="C21" i="23"/>
  <c r="P44" i="23"/>
  <c r="Q44" i="23" s="1"/>
  <c r="R44" i="23" s="1"/>
  <c r="S44" i="23" s="1"/>
  <c r="P51" i="23"/>
  <c r="Q51" i="23"/>
  <c r="R51" i="23"/>
  <c r="S51" i="23"/>
  <c r="T18" i="23"/>
  <c r="T20" i="23" s="1"/>
  <c r="AC42" i="23"/>
  <c r="AB42" i="23"/>
  <c r="AA42" i="23"/>
  <c r="Z42" i="23"/>
  <c r="Y42" i="23"/>
  <c r="X42" i="23"/>
  <c r="W42" i="23"/>
  <c r="V42" i="23"/>
  <c r="U42" i="23"/>
  <c r="T42" i="23"/>
  <c r="S42" i="23"/>
  <c r="R42" i="23"/>
  <c r="Q42" i="23"/>
  <c r="P42" i="23"/>
  <c r="U20" i="23"/>
  <c r="O42" i="23" l="1"/>
  <c r="D34" i="15"/>
  <c r="P62" i="23" l="1"/>
  <c r="Q62" i="23" s="1"/>
  <c r="R62" i="23" s="1"/>
  <c r="W110" i="2" l="1"/>
  <c r="W111" i="2" s="1"/>
  <c r="V70" i="2"/>
  <c r="W42" i="2"/>
  <c r="W38" i="2"/>
  <c r="W40" i="2" s="1"/>
  <c r="W63" i="2"/>
  <c r="W66" i="2" s="1"/>
  <c r="X60" i="2"/>
  <c r="C20" i="23"/>
  <c r="C29" i="23"/>
  <c r="C23" i="23" l="1"/>
  <c r="O51" i="23"/>
  <c r="O20" i="23"/>
  <c r="C65" i="23"/>
  <c r="V65" i="2"/>
  <c r="W44" i="2"/>
  <c r="W57" i="2" s="1"/>
  <c r="W61" i="2" s="1"/>
  <c r="C85" i="23"/>
  <c r="X38" i="2"/>
  <c r="W104" i="2"/>
  <c r="C72" i="23" s="1"/>
  <c r="W70" i="2"/>
  <c r="X44" i="23"/>
  <c r="Y44" i="23" s="1"/>
  <c r="Z44" i="23" s="1"/>
  <c r="AA44" i="23" s="1"/>
  <c r="P20" i="23" l="1"/>
  <c r="W112" i="2"/>
  <c r="W72" i="2"/>
  <c r="W75" i="2" s="1"/>
  <c r="W80" i="2" s="1"/>
  <c r="AA235" i="2"/>
  <c r="E17" i="15"/>
  <c r="P38" i="23"/>
  <c r="Q38" i="23"/>
  <c r="R38" i="23"/>
  <c r="S38" i="23"/>
  <c r="T38" i="23"/>
  <c r="U38" i="23"/>
  <c r="V38" i="23"/>
  <c r="W38" i="23"/>
  <c r="X38" i="23"/>
  <c r="Y38" i="23"/>
  <c r="Z38" i="23"/>
  <c r="AA38" i="23"/>
  <c r="AB38" i="23"/>
  <c r="AC38" i="23"/>
  <c r="O38" i="23"/>
  <c r="AC34" i="23"/>
  <c r="P34" i="23"/>
  <c r="P40" i="23" s="1"/>
  <c r="Q34" i="23"/>
  <c r="Q40" i="23" s="1"/>
  <c r="R34" i="23"/>
  <c r="S34" i="23"/>
  <c r="S40" i="23" s="1"/>
  <c r="T34" i="23"/>
  <c r="U34" i="23"/>
  <c r="U40" i="23" s="1"/>
  <c r="V34" i="23"/>
  <c r="V40" i="23" s="1"/>
  <c r="W34" i="23"/>
  <c r="W40" i="23" s="1"/>
  <c r="X34" i="23"/>
  <c r="X40" i="23" s="1"/>
  <c r="Y34" i="23"/>
  <c r="Y40" i="23" s="1"/>
  <c r="Z34" i="23"/>
  <c r="AA34" i="23"/>
  <c r="AA40" i="23" s="1"/>
  <c r="AB34" i="23"/>
  <c r="AB40" i="23" s="1"/>
  <c r="O34" i="23"/>
  <c r="C49" i="23"/>
  <c r="C73" i="23" s="1"/>
  <c r="Y19" i="23" l="1"/>
  <c r="Y25" i="23" s="1"/>
  <c r="Y26" i="23" s="1"/>
  <c r="O56" i="23" s="1"/>
  <c r="U23" i="23"/>
  <c r="U24" i="23" s="1"/>
  <c r="R40" i="23"/>
  <c r="Z40" i="23"/>
  <c r="C86" i="23"/>
  <c r="V64" i="2"/>
  <c r="T40" i="23"/>
  <c r="V111" i="2"/>
  <c r="V104" i="2" s="1"/>
  <c r="AC40" i="23"/>
  <c r="O40" i="23"/>
  <c r="C39" i="23"/>
  <c r="X106" i="2"/>
  <c r="V102" i="2"/>
  <c r="T23" i="23" l="1"/>
  <c r="T24" i="23" s="1"/>
  <c r="T26" i="23" s="1"/>
  <c r="V63" i="2"/>
  <c r="X64" i="2"/>
  <c r="L69" i="23"/>
  <c r="K69" i="23"/>
  <c r="J69" i="23"/>
  <c r="I69" i="23"/>
  <c r="H69" i="23"/>
  <c r="D49" i="23"/>
  <c r="E49" i="23"/>
  <c r="F49" i="23"/>
  <c r="G49" i="23"/>
  <c r="H49" i="23"/>
  <c r="I49" i="23"/>
  <c r="J49" i="23"/>
  <c r="K49" i="23"/>
  <c r="L49" i="23"/>
  <c r="D39" i="23"/>
  <c r="E39" i="23"/>
  <c r="F39" i="23"/>
  <c r="G39" i="23"/>
  <c r="H39" i="23"/>
  <c r="I39" i="23"/>
  <c r="J39" i="23"/>
  <c r="K39" i="23"/>
  <c r="L39" i="23"/>
  <c r="AB65" i="3"/>
  <c r="AB57" i="3"/>
  <c r="AB64" i="3"/>
  <c r="AB63" i="3"/>
  <c r="AB62" i="3"/>
  <c r="Z65" i="3"/>
  <c r="Y65" i="3"/>
  <c r="X65" i="3"/>
  <c r="W65" i="3"/>
  <c r="V65" i="3"/>
  <c r="Z64" i="3"/>
  <c r="Y64" i="3"/>
  <c r="X64" i="3"/>
  <c r="W64" i="3"/>
  <c r="AA64" i="3" s="1"/>
  <c r="V64" i="3"/>
  <c r="Z63" i="3"/>
  <c r="Z66" i="3" s="1"/>
  <c r="Y63" i="3"/>
  <c r="X63" i="3"/>
  <c r="X66" i="3" s="1"/>
  <c r="W63" i="3"/>
  <c r="V63" i="3"/>
  <c r="AA63" i="3" s="1"/>
  <c r="Z62" i="3"/>
  <c r="Y62" i="3"/>
  <c r="X62" i="3"/>
  <c r="W62" i="3"/>
  <c r="AA62" i="3" s="1"/>
  <c r="V62" i="3"/>
  <c r="AB56" i="3"/>
  <c r="AB55" i="3"/>
  <c r="AB58" i="3" s="1"/>
  <c r="AB54" i="3"/>
  <c r="Y56" i="3"/>
  <c r="Z58" i="3"/>
  <c r="V58" i="3"/>
  <c r="Z57" i="3"/>
  <c r="Y57" i="3"/>
  <c r="X57" i="3"/>
  <c r="W57" i="3"/>
  <c r="V57" i="3"/>
  <c r="AA57" i="3" s="1"/>
  <c r="Z56" i="3"/>
  <c r="X56" i="3"/>
  <c r="W56" i="3"/>
  <c r="AA56" i="3" s="1"/>
  <c r="V56" i="3"/>
  <c r="Z55" i="3"/>
  <c r="Y55" i="3"/>
  <c r="X55" i="3"/>
  <c r="X58" i="3" s="1"/>
  <c r="W55" i="3"/>
  <c r="V55" i="3"/>
  <c r="AA55" i="3" s="1"/>
  <c r="Z54" i="3"/>
  <c r="Y54" i="3"/>
  <c r="Y58" i="3" s="1"/>
  <c r="X54" i="3"/>
  <c r="W54" i="3"/>
  <c r="AA54" i="3" s="1"/>
  <c r="AA58" i="3" s="1"/>
  <c r="V54" i="3"/>
  <c r="Z49" i="3"/>
  <c r="Y49" i="3"/>
  <c r="X49" i="3"/>
  <c r="W49" i="3"/>
  <c r="V49" i="3"/>
  <c r="AA49" i="3" s="1"/>
  <c r="Z48" i="3"/>
  <c r="Y48" i="3"/>
  <c r="X48" i="3"/>
  <c r="W48" i="3"/>
  <c r="V48" i="3"/>
  <c r="AA48" i="3" s="1"/>
  <c r="Z47" i="3"/>
  <c r="Y47" i="3"/>
  <c r="X47" i="3"/>
  <c r="W47" i="3"/>
  <c r="V47" i="3"/>
  <c r="AA47" i="3" s="1"/>
  <c r="Z46" i="3"/>
  <c r="Z50" i="3" s="1"/>
  <c r="Y46" i="3"/>
  <c r="Y50" i="3" s="1"/>
  <c r="X46" i="3"/>
  <c r="X50" i="3" s="1"/>
  <c r="W46" i="3"/>
  <c r="W50" i="3" s="1"/>
  <c r="V46" i="3"/>
  <c r="V50" i="3" s="1"/>
  <c r="X42" i="3"/>
  <c r="Z41" i="3"/>
  <c r="Y41" i="3"/>
  <c r="X41" i="3"/>
  <c r="W41" i="3"/>
  <c r="AA41" i="3" s="1"/>
  <c r="V41" i="3"/>
  <c r="Z40" i="3"/>
  <c r="Y40" i="3"/>
  <c r="X40" i="3"/>
  <c r="W40" i="3"/>
  <c r="V40" i="3"/>
  <c r="AA40" i="3" s="1"/>
  <c r="Z39" i="3"/>
  <c r="Y39" i="3"/>
  <c r="X39" i="3"/>
  <c r="W39" i="3"/>
  <c r="AA39" i="3" s="1"/>
  <c r="V39" i="3"/>
  <c r="Z38" i="3"/>
  <c r="Z42" i="3" s="1"/>
  <c r="Y38" i="3"/>
  <c r="Y42" i="3" s="1"/>
  <c r="V38" i="3"/>
  <c r="AA38" i="3" s="1"/>
  <c r="X38" i="3"/>
  <c r="W38" i="3"/>
  <c r="W42" i="3" s="1"/>
  <c r="Z33" i="3"/>
  <c r="Y33" i="3"/>
  <c r="X33" i="3"/>
  <c r="W33" i="3"/>
  <c r="V33" i="3"/>
  <c r="AA33" i="3" s="1"/>
  <c r="V32" i="3"/>
  <c r="AA32" i="3" s="1"/>
  <c r="V31" i="3"/>
  <c r="AA31" i="3" s="1"/>
  <c r="Z32" i="3"/>
  <c r="Y32" i="3"/>
  <c r="X32" i="3"/>
  <c r="W32" i="3"/>
  <c r="Z31" i="3"/>
  <c r="Y31" i="3"/>
  <c r="X31" i="3"/>
  <c r="W31" i="3"/>
  <c r="Z30" i="3"/>
  <c r="Z34" i="3" s="1"/>
  <c r="Y30" i="3"/>
  <c r="Y34" i="3" s="1"/>
  <c r="X30" i="3"/>
  <c r="X34" i="3" s="1"/>
  <c r="W30" i="3"/>
  <c r="W34" i="3" s="1"/>
  <c r="V30" i="3"/>
  <c r="V34" i="3" s="1"/>
  <c r="R34" i="3"/>
  <c r="R33" i="3"/>
  <c r="R32" i="3"/>
  <c r="R31" i="3"/>
  <c r="R35" i="3" s="1"/>
  <c r="C28" i="3"/>
  <c r="C29" i="3" s="1"/>
  <c r="C30" i="3" s="1"/>
  <c r="S66" i="3"/>
  <c r="Q66" i="3"/>
  <c r="P66" i="3"/>
  <c r="O66" i="3"/>
  <c r="N66" i="3"/>
  <c r="M66" i="3"/>
  <c r="R66" i="3" s="1"/>
  <c r="S65" i="3"/>
  <c r="Q65" i="3"/>
  <c r="P65" i="3"/>
  <c r="O65" i="3"/>
  <c r="N65" i="3"/>
  <c r="M65" i="3"/>
  <c r="S64" i="3"/>
  <c r="Q64" i="3"/>
  <c r="P64" i="3"/>
  <c r="O64" i="3"/>
  <c r="N64" i="3"/>
  <c r="M64" i="3"/>
  <c r="R64" i="3" s="1"/>
  <c r="S63" i="3"/>
  <c r="Q63" i="3"/>
  <c r="P63" i="3"/>
  <c r="P67" i="3" s="1"/>
  <c r="O63" i="3"/>
  <c r="N63" i="3"/>
  <c r="M63" i="3"/>
  <c r="S58" i="3"/>
  <c r="Q58" i="3"/>
  <c r="P58" i="3"/>
  <c r="O58" i="3"/>
  <c r="N58" i="3"/>
  <c r="M58" i="3"/>
  <c r="S57" i="3"/>
  <c r="Q57" i="3"/>
  <c r="P57" i="3"/>
  <c r="O57" i="3"/>
  <c r="N57" i="3"/>
  <c r="M57" i="3"/>
  <c r="S56" i="3"/>
  <c r="Q56" i="3"/>
  <c r="P56" i="3"/>
  <c r="O56" i="3"/>
  <c r="O59" i="3" s="1"/>
  <c r="N56" i="3"/>
  <c r="M56" i="3"/>
  <c r="S55" i="3"/>
  <c r="Q55" i="3"/>
  <c r="P55" i="3"/>
  <c r="P59" i="3" s="1"/>
  <c r="O55" i="3"/>
  <c r="N55" i="3"/>
  <c r="M55" i="3"/>
  <c r="P51" i="3"/>
  <c r="S50" i="3"/>
  <c r="Q50" i="3"/>
  <c r="P50" i="3"/>
  <c r="O50" i="3"/>
  <c r="N50" i="3"/>
  <c r="M50" i="3"/>
  <c r="S49" i="3"/>
  <c r="Q49" i="3"/>
  <c r="P49" i="3"/>
  <c r="O49" i="3"/>
  <c r="N49" i="3"/>
  <c r="M49" i="3"/>
  <c r="R49" i="3" s="1"/>
  <c r="S48" i="3"/>
  <c r="Q48" i="3"/>
  <c r="P48" i="3"/>
  <c r="O48" i="3"/>
  <c r="N48" i="3"/>
  <c r="M48" i="3"/>
  <c r="S47" i="3"/>
  <c r="Q47" i="3"/>
  <c r="Q51" i="3" s="1"/>
  <c r="P47" i="3"/>
  <c r="O47" i="3"/>
  <c r="N47" i="3"/>
  <c r="N51" i="3" s="1"/>
  <c r="M47" i="3"/>
  <c r="M51" i="3" s="1"/>
  <c r="S42" i="3"/>
  <c r="Q42" i="3"/>
  <c r="P42" i="3"/>
  <c r="O42" i="3"/>
  <c r="N42" i="3"/>
  <c r="M42" i="3"/>
  <c r="S41" i="3"/>
  <c r="Q41" i="3"/>
  <c r="P41" i="3"/>
  <c r="O41" i="3"/>
  <c r="N41" i="3"/>
  <c r="M41" i="3"/>
  <c r="R41" i="3" s="1"/>
  <c r="S40" i="3"/>
  <c r="Q40" i="3"/>
  <c r="P40" i="3"/>
  <c r="P43" i="3" s="1"/>
  <c r="O40" i="3"/>
  <c r="N40" i="3"/>
  <c r="M40" i="3"/>
  <c r="S39" i="3"/>
  <c r="Q39" i="3"/>
  <c r="Q43" i="3" s="1"/>
  <c r="P39" i="3"/>
  <c r="O39" i="3"/>
  <c r="N39" i="3"/>
  <c r="N43" i="3" s="1"/>
  <c r="M39" i="3"/>
  <c r="M43" i="3" s="1"/>
  <c r="AA30" i="3" l="1"/>
  <c r="AA34" i="3" s="1"/>
  <c r="R57" i="3"/>
  <c r="W58" i="3"/>
  <c r="Y66" i="3"/>
  <c r="O43" i="3"/>
  <c r="R40" i="3"/>
  <c r="R42" i="3"/>
  <c r="O51" i="3"/>
  <c r="R48" i="3"/>
  <c r="R50" i="3"/>
  <c r="N59" i="3"/>
  <c r="M67" i="3"/>
  <c r="Q67" i="3"/>
  <c r="O67" i="3"/>
  <c r="R65" i="3"/>
  <c r="V42" i="3"/>
  <c r="M59" i="3"/>
  <c r="Q59" i="3"/>
  <c r="R58" i="3"/>
  <c r="R63" i="3"/>
  <c r="R67" i="3" s="1"/>
  <c r="AA46" i="3"/>
  <c r="AA50" i="3" s="1"/>
  <c r="W66" i="3"/>
  <c r="H74" i="23"/>
  <c r="L74" i="23"/>
  <c r="I74" i="23"/>
  <c r="J74" i="23"/>
  <c r="K74" i="23"/>
  <c r="V66" i="2"/>
  <c r="S43" i="3"/>
  <c r="S51" i="3"/>
  <c r="C17" i="3" s="1"/>
  <c r="C23" i="3" s="1"/>
  <c r="S59" i="3"/>
  <c r="C16" i="3" s="1"/>
  <c r="C22" i="3" s="1"/>
  <c r="S67" i="3"/>
  <c r="C18" i="3" s="1"/>
  <c r="C24" i="3" s="1"/>
  <c r="V108" i="2"/>
  <c r="AB66" i="3"/>
  <c r="AA65" i="3"/>
  <c r="AA66" i="3" s="1"/>
  <c r="V66" i="3"/>
  <c r="AA42" i="3"/>
  <c r="N67" i="3"/>
  <c r="R39" i="3"/>
  <c r="R47" i="3"/>
  <c r="R55" i="3"/>
  <c r="R56" i="3"/>
  <c r="R43" i="3"/>
  <c r="R51" i="3" l="1"/>
  <c r="R59" i="3"/>
  <c r="Q35" i="3" l="1"/>
  <c r="P35" i="3"/>
  <c r="O35" i="3"/>
  <c r="N35" i="3"/>
  <c r="M35" i="3"/>
  <c r="Y106" i="2" l="1"/>
  <c r="Z106" i="2" s="1"/>
  <c r="X49" i="2"/>
  <c r="X92" i="2"/>
  <c r="Y92" i="2" s="1"/>
  <c r="Z92" i="2" s="1"/>
  <c r="X89" i="2"/>
  <c r="Y89" i="2" s="1"/>
  <c r="Z89" i="2" s="1"/>
  <c r="X88" i="2"/>
  <c r="Y88" i="2" s="1"/>
  <c r="Z88" i="2" s="1"/>
  <c r="X86" i="2"/>
  <c r="X87" i="2" s="1"/>
  <c r="X90" i="2" s="1"/>
  <c r="X85" i="2"/>
  <c r="X81" i="2"/>
  <c r="X53" i="2"/>
  <c r="X50" i="2"/>
  <c r="Z52" i="2"/>
  <c r="Z49" i="2"/>
  <c r="Y53" i="2"/>
  <c r="Y30" i="2"/>
  <c r="Y25" i="2"/>
  <c r="X25" i="2"/>
  <c r="X24" i="2"/>
  <c r="X23" i="2"/>
  <c r="X19" i="2"/>
  <c r="X18" i="2"/>
  <c r="X13" i="2"/>
  <c r="X16" i="2" s="1"/>
  <c r="X10" i="2"/>
  <c r="X9" i="2"/>
  <c r="X8" i="2"/>
  <c r="T30" i="2"/>
  <c r="T29" i="2"/>
  <c r="T28" i="2"/>
  <c r="U161" i="2"/>
  <c r="U160" i="2"/>
  <c r="U159" i="2"/>
  <c r="U162" i="2" s="1"/>
  <c r="X20" i="2"/>
  <c r="AA20" i="2" s="1"/>
  <c r="AA15" i="2"/>
  <c r="AA14" i="2"/>
  <c r="AA10" i="2"/>
  <c r="W108" i="2"/>
  <c r="W114" i="2"/>
  <c r="C87" i="23" s="1"/>
  <c r="W83" i="2"/>
  <c r="W96" i="2" s="1"/>
  <c r="U111" i="2"/>
  <c r="U114" i="2" s="1"/>
  <c r="U100" i="2"/>
  <c r="U102" i="2" s="1"/>
  <c r="U108" i="2" s="1"/>
  <c r="U93" i="2"/>
  <c r="U90" i="2"/>
  <c r="U87" i="2"/>
  <c r="U80" i="2"/>
  <c r="U83" i="2" s="1"/>
  <c r="U28" i="2"/>
  <c r="U33" i="2" s="1"/>
  <c r="U36" i="2" s="1"/>
  <c r="U40" i="2" s="1"/>
  <c r="U44" i="2" s="1"/>
  <c r="G28" i="2"/>
  <c r="G33" i="2" s="1"/>
  <c r="D28" i="2"/>
  <c r="D33" i="2" s="1"/>
  <c r="T33" i="2"/>
  <c r="U26" i="2"/>
  <c r="U21" i="2"/>
  <c r="U16" i="2"/>
  <c r="U11" i="2"/>
  <c r="T192" i="2"/>
  <c r="Y192" i="2" s="1"/>
  <c r="Z192" i="2" s="1"/>
  <c r="AE216" i="2"/>
  <c r="AE179" i="2"/>
  <c r="AD179" i="2"/>
  <c r="AD219" i="2" s="1"/>
  <c r="AC179" i="2"/>
  <c r="AC219" i="2" s="1"/>
  <c r="AB179" i="2"/>
  <c r="AB217" i="2" s="1"/>
  <c r="AA179" i="2"/>
  <c r="AA217" i="2" s="1"/>
  <c r="Z178" i="2"/>
  <c r="Y178" i="2"/>
  <c r="Y177" i="2"/>
  <c r="Y176" i="2"/>
  <c r="Z176" i="2" s="1"/>
  <c r="AF177" i="2"/>
  <c r="AG177" i="2" s="1"/>
  <c r="AH177" i="2" s="1"/>
  <c r="AF176" i="2"/>
  <c r="Z177" i="2"/>
  <c r="AF179" i="2" l="1"/>
  <c r="AF219" i="2" s="1"/>
  <c r="AB219" i="2"/>
  <c r="AA216" i="2"/>
  <c r="AA218" i="2" s="1"/>
  <c r="U116" i="2"/>
  <c r="Z179" i="2"/>
  <c r="AE219" i="2"/>
  <c r="AE217" i="2"/>
  <c r="AG176" i="2"/>
  <c r="AG179" i="2" s="1"/>
  <c r="AG219" i="2" s="1"/>
  <c r="AD216" i="2"/>
  <c r="U96" i="2"/>
  <c r="U118" i="2"/>
  <c r="AC216" i="2"/>
  <c r="AD217" i="2"/>
  <c r="AG216" i="2"/>
  <c r="X30" i="2"/>
  <c r="X35" i="2" s="1"/>
  <c r="X26" i="2"/>
  <c r="X58" i="2" s="1"/>
  <c r="X48" i="2"/>
  <c r="AB216" i="2"/>
  <c r="AB218" i="2" s="1"/>
  <c r="AC217" i="2"/>
  <c r="Y179" i="2"/>
  <c r="Y85" i="2" s="1"/>
  <c r="AE218" i="2"/>
  <c r="X11" i="2"/>
  <c r="C41" i="23"/>
  <c r="W116" i="2"/>
  <c r="W118" i="2" s="1"/>
  <c r="X29" i="2"/>
  <c r="X34" i="2" s="1"/>
  <c r="X21" i="2"/>
  <c r="T31" i="2"/>
  <c r="X28" i="2"/>
  <c r="Y8" i="2"/>
  <c r="Y18" i="2"/>
  <c r="U31" i="2"/>
  <c r="AG218" i="2" l="1"/>
  <c r="AG217" i="2"/>
  <c r="AD218" i="2"/>
  <c r="AF217" i="2"/>
  <c r="AF216" i="2"/>
  <c r="AF218" i="2" s="1"/>
  <c r="AH176" i="2"/>
  <c r="AC218" i="2"/>
  <c r="AH179" i="2"/>
  <c r="X33" i="2"/>
  <c r="X36" i="2" s="1"/>
  <c r="X40" i="2" s="1"/>
  <c r="X31" i="2"/>
  <c r="Z8" i="2"/>
  <c r="AA8" i="2" s="1"/>
  <c r="AH219" i="2" l="1"/>
  <c r="AH217" i="2"/>
  <c r="AH216" i="2"/>
  <c r="AH218" i="2" s="1"/>
  <c r="Z18" i="2"/>
  <c r="AA18" i="2" s="1"/>
  <c r="T207" i="2" l="1"/>
  <c r="Y207" i="2" s="1"/>
  <c r="T206" i="2"/>
  <c r="Y206" i="2" s="1"/>
  <c r="T104" i="2"/>
  <c r="T185" i="2"/>
  <c r="T188" i="2"/>
  <c r="T196" i="2"/>
  <c r="T197" i="2"/>
  <c r="T201" i="2"/>
  <c r="T202" i="2"/>
  <c r="T222" i="2"/>
  <c r="T223" i="2"/>
  <c r="T159" i="2"/>
  <c r="X159" i="2" s="1"/>
  <c r="Y159" i="2" s="1"/>
  <c r="Z159" i="2" s="1"/>
  <c r="AA159" i="2" s="1"/>
  <c r="S159" i="2"/>
  <c r="S155" i="2"/>
  <c r="T155" i="2" s="1"/>
  <c r="S154" i="2"/>
  <c r="T154" i="2" s="1"/>
  <c r="S153" i="2"/>
  <c r="T153" i="2" s="1"/>
  <c r="T165" i="2" s="1"/>
  <c r="S160" i="2"/>
  <c r="T160" i="2" s="1"/>
  <c r="X160" i="2" s="1"/>
  <c r="S161" i="2"/>
  <c r="T161" i="2" s="1"/>
  <c r="S162" i="2"/>
  <c r="Y140" i="2"/>
  <c r="Z140" i="2" s="1"/>
  <c r="Y139" i="2"/>
  <c r="Z139" i="2" s="1"/>
  <c r="AB142" i="2"/>
  <c r="AB141" i="2"/>
  <c r="AB140" i="2"/>
  <c r="AB139" i="2"/>
  <c r="T148" i="2"/>
  <c r="T136" i="2"/>
  <c r="T127" i="2"/>
  <c r="T113" i="2"/>
  <c r="X113" i="2" s="1"/>
  <c r="Y113" i="2" s="1"/>
  <c r="T107" i="2"/>
  <c r="X107" i="2" s="1"/>
  <c r="Y107" i="2" s="1"/>
  <c r="Z107" i="2" s="1"/>
  <c r="T105" i="2"/>
  <c r="X105" i="2" s="1"/>
  <c r="Y105" i="2" s="1"/>
  <c r="Z105" i="2" s="1"/>
  <c r="T101" i="2"/>
  <c r="X101" i="2" s="1"/>
  <c r="Y101" i="2" s="1"/>
  <c r="Z101" i="2" s="1"/>
  <c r="T100" i="2"/>
  <c r="X100" i="2" s="1"/>
  <c r="T99" i="2"/>
  <c r="X99" i="2" s="1"/>
  <c r="T94" i="2"/>
  <c r="T93" i="2"/>
  <c r="X93" i="2" s="1"/>
  <c r="Y93" i="2" s="1"/>
  <c r="Z93" i="2" s="1"/>
  <c r="T87" i="2"/>
  <c r="T90" i="2" s="1"/>
  <c r="T82" i="2"/>
  <c r="X82" i="2" s="1"/>
  <c r="Y82" i="2" s="1"/>
  <c r="Z82" i="2" s="1"/>
  <c r="T68" i="2"/>
  <c r="X68" i="2" s="1"/>
  <c r="T65" i="2"/>
  <c r="X65" i="2" s="1"/>
  <c r="AA65" i="2" s="1"/>
  <c r="T63" i="2"/>
  <c r="X63" i="2" s="1"/>
  <c r="T59" i="2"/>
  <c r="Q60" i="2"/>
  <c r="Q58" i="2"/>
  <c r="T174" i="2"/>
  <c r="S179" i="2"/>
  <c r="T179" i="2"/>
  <c r="T35" i="2"/>
  <c r="T34" i="2"/>
  <c r="S11" i="2"/>
  <c r="S165" i="2" l="1"/>
  <c r="X161" i="2"/>
  <c r="Y161" i="2" s="1"/>
  <c r="Z161" i="2" s="1"/>
  <c r="AA161" i="2" s="1"/>
  <c r="T162" i="2"/>
  <c r="S167" i="2"/>
  <c r="T167" i="2" s="1"/>
  <c r="X66" i="2"/>
  <c r="X102" i="2"/>
  <c r="Y99" i="2"/>
  <c r="Z99" i="2" s="1"/>
  <c r="X104" i="2"/>
  <c r="X205" i="2" s="1"/>
  <c r="T205" i="2"/>
  <c r="T156" i="2"/>
  <c r="T166" i="2"/>
  <c r="T168" i="2" s="1"/>
  <c r="S166" i="2"/>
  <c r="S156" i="2"/>
  <c r="X162" i="2"/>
  <c r="S168" i="2"/>
  <c r="T36" i="2"/>
  <c r="T40" i="2" s="1"/>
  <c r="AC139" i="2"/>
  <c r="AD139" i="2" s="1"/>
  <c r="AE139" i="2" s="1"/>
  <c r="AF139" i="2" s="1"/>
  <c r="AG139" i="2" s="1"/>
  <c r="AH139" i="2" s="1"/>
  <c r="D11" i="15"/>
  <c r="E11" i="15" s="1"/>
  <c r="F11" i="15" s="1"/>
  <c r="G11" i="15" s="1"/>
  <c r="H11" i="15" s="1"/>
  <c r="I11" i="15" s="1"/>
  <c r="J11" i="15" s="1"/>
  <c r="K11" i="15" s="1"/>
  <c r="L11" i="15" s="1"/>
  <c r="M11" i="15" s="1"/>
  <c r="N11" i="15" s="1"/>
  <c r="O11" i="15" s="1"/>
  <c r="P11" i="15" s="1"/>
  <c r="Q11" i="15" s="1"/>
  <c r="R11" i="15" s="1"/>
  <c r="S11" i="15" s="1"/>
  <c r="T11" i="15" s="1"/>
  <c r="U11" i="15" s="1"/>
  <c r="V11" i="15" s="1"/>
  <c r="W11" i="15" s="1"/>
  <c r="X11" i="15" s="1"/>
  <c r="Y11" i="15" s="1"/>
  <c r="Z11" i="15" s="1"/>
  <c r="AA11" i="15" s="1"/>
  <c r="AB11" i="15" s="1"/>
  <c r="AC11" i="15" s="1"/>
  <c r="AD11" i="15" s="1"/>
  <c r="AE11" i="15" s="1"/>
  <c r="AF11" i="15" s="1"/>
  <c r="AG11" i="15" s="1"/>
  <c r="AH11" i="15" s="1"/>
  <c r="AI11" i="15" s="1"/>
  <c r="AJ11" i="15" s="1"/>
  <c r="AK11" i="15" s="1"/>
  <c r="AL11" i="15" s="1"/>
  <c r="X108" i="2" l="1"/>
  <c r="E34" i="15"/>
  <c r="F17" i="15"/>
  <c r="G17" i="15" l="1"/>
  <c r="G34" i="15" s="1"/>
  <c r="F34" i="15"/>
  <c r="H17" i="15" l="1"/>
  <c r="I17" i="15" l="1"/>
  <c r="H34" i="15"/>
  <c r="J17" i="15" l="1"/>
  <c r="I34" i="15"/>
  <c r="K17" i="15" l="1"/>
  <c r="J34" i="15"/>
  <c r="L17" i="15" l="1"/>
  <c r="K34" i="15"/>
  <c r="M17" i="15" l="1"/>
  <c r="L34" i="15"/>
  <c r="N17" i="15" l="1"/>
  <c r="M34" i="15"/>
  <c r="N34" i="15" l="1"/>
  <c r="O17" i="15"/>
  <c r="P17" i="15" l="1"/>
  <c r="O34" i="15"/>
  <c r="P34" i="15" l="1"/>
  <c r="Q17" i="15"/>
  <c r="Q34" i="15" l="1"/>
  <c r="R17" i="15"/>
  <c r="R34" i="15" l="1"/>
  <c r="S17" i="15"/>
  <c r="S34" i="15" l="1"/>
  <c r="T17" i="15"/>
  <c r="U17" i="15" l="1"/>
  <c r="T34" i="15"/>
  <c r="V17" i="15" l="1"/>
  <c r="U34" i="15"/>
  <c r="W17" i="15" l="1"/>
  <c r="V34" i="15"/>
  <c r="X17" i="15" l="1"/>
  <c r="W34" i="15"/>
  <c r="Y17" i="15" l="1"/>
  <c r="X34" i="15"/>
  <c r="Y34" i="15" l="1"/>
  <c r="Z17" i="15"/>
  <c r="Z34" i="15" l="1"/>
  <c r="AA17" i="15"/>
  <c r="AB17" i="15" l="1"/>
  <c r="AA34" i="15"/>
  <c r="AC17" i="15" l="1"/>
  <c r="AB34" i="15"/>
  <c r="AC34" i="15" l="1"/>
  <c r="AD17" i="15"/>
  <c r="AD34" i="15" l="1"/>
  <c r="AE17" i="15"/>
  <c r="AF17" i="15" l="1"/>
  <c r="AE34" i="15"/>
  <c r="AF34" i="15" l="1"/>
  <c r="AG17" i="15"/>
  <c r="AG34" i="15" l="1"/>
  <c r="AH17" i="15"/>
  <c r="AI17" i="15" l="1"/>
  <c r="AH34" i="15"/>
  <c r="AI34" i="15" l="1"/>
  <c r="AJ17" i="15"/>
  <c r="AK17" i="15" l="1"/>
  <c r="AJ34" i="15"/>
  <c r="AK34" i="15" l="1"/>
  <c r="AL17" i="15"/>
  <c r="AL34" i="15" s="1"/>
  <c r="AB202" i="2" l="1"/>
  <c r="AB201" i="2"/>
  <c r="Y202" i="2"/>
  <c r="Z202" i="2" s="1"/>
  <c r="Y201" i="2"/>
  <c r="Z201" i="2" s="1"/>
  <c r="AC142" i="2"/>
  <c r="AD142" i="2" s="1"/>
  <c r="AE142" i="2" s="1"/>
  <c r="AF142" i="2" s="1"/>
  <c r="AG142" i="2" s="1"/>
  <c r="AH142" i="2" s="1"/>
  <c r="AC141" i="2"/>
  <c r="AD141" i="2" s="1"/>
  <c r="AE141" i="2" s="1"/>
  <c r="AF141" i="2" s="1"/>
  <c r="AG141" i="2" s="1"/>
  <c r="AH141" i="2" s="1"/>
  <c r="AC140" i="2" l="1"/>
  <c r="AD140" i="2" s="1"/>
  <c r="AE140" i="2" s="1"/>
  <c r="AF140" i="2" s="1"/>
  <c r="AG140" i="2" s="1"/>
  <c r="AH140" i="2" s="1"/>
  <c r="AC201" i="2"/>
  <c r="AC202" i="2"/>
  <c r="AD202" i="2" l="1"/>
  <c r="AD201" i="2"/>
  <c r="AE202" i="2" l="1"/>
  <c r="AE201" i="2"/>
  <c r="AF202" i="2" l="1"/>
  <c r="AF201" i="2"/>
  <c r="AG202" i="2" l="1"/>
  <c r="AG201" i="2"/>
  <c r="H147" i="2"/>
  <c r="H148" i="2" s="1"/>
  <c r="M136" i="2"/>
  <c r="D197" i="2"/>
  <c r="D196" i="2"/>
  <c r="AB197" i="2"/>
  <c r="AB196" i="2"/>
  <c r="AH202" i="2" l="1"/>
  <c r="AH201" i="2"/>
  <c r="F8" i="3"/>
  <c r="C11" i="23" s="1"/>
  <c r="T111" i="2"/>
  <c r="X111" i="2" s="1"/>
  <c r="Y111" i="2" s="1"/>
  <c r="G4" i="3"/>
  <c r="H4" i="3" s="1"/>
  <c r="I4" i="3" s="1"/>
  <c r="J4" i="3" s="1"/>
  <c r="P16" i="23" l="1"/>
  <c r="O16" i="23"/>
  <c r="T27" i="23"/>
  <c r="C24" i="23"/>
  <c r="C117" i="23" s="1"/>
  <c r="G8" i="3"/>
  <c r="D11" i="23" s="1"/>
  <c r="U27" i="23" l="1"/>
  <c r="Y21" i="23" s="1"/>
  <c r="T28" i="23"/>
  <c r="O17" i="23" s="1"/>
  <c r="O19" i="23" s="1"/>
  <c r="O22" i="23" s="1"/>
  <c r="D24" i="23"/>
  <c r="D117" i="23" s="1"/>
  <c r="H8" i="3"/>
  <c r="E11" i="23" s="1"/>
  <c r="E24" i="23" l="1"/>
  <c r="I8" i="3"/>
  <c r="F11" i="23" s="1"/>
  <c r="F24" i="23" l="1"/>
  <c r="F117" i="23" s="1"/>
  <c r="J8" i="3"/>
  <c r="G11" i="23" s="1"/>
  <c r="H11" i="23" l="1"/>
  <c r="AC185" i="2"/>
  <c r="AC191" i="2"/>
  <c r="AD191" i="2" s="1"/>
  <c r="I11" i="23" l="1"/>
  <c r="J11" i="23" l="1"/>
  <c r="Z206" i="2"/>
  <c r="AB235" i="2"/>
  <c r="AC235" i="2" s="1"/>
  <c r="AD235" i="2" s="1"/>
  <c r="AE235" i="2" s="1"/>
  <c r="AF235" i="2" s="1"/>
  <c r="AG235" i="2" s="1"/>
  <c r="AH235" i="2" s="1"/>
  <c r="K11" i="23" l="1"/>
  <c r="AI235" i="2"/>
  <c r="Z111" i="2"/>
  <c r="AA111" i="2" s="1"/>
  <c r="AB111" i="2" s="1"/>
  <c r="AC111" i="2" s="1"/>
  <c r="AD111" i="2" s="1"/>
  <c r="AE111" i="2" s="1"/>
  <c r="AF111" i="2" s="1"/>
  <c r="AG111" i="2" s="1"/>
  <c r="AH111" i="2" s="1"/>
  <c r="T110" i="2"/>
  <c r="S113" i="2"/>
  <c r="Z113" i="2" s="1"/>
  <c r="AA107" i="2"/>
  <c r="AB107" i="2" s="1"/>
  <c r="AC107" i="2" s="1"/>
  <c r="AD107" i="2" s="1"/>
  <c r="AE107" i="2" s="1"/>
  <c r="AF107" i="2" s="1"/>
  <c r="AG107" i="2" s="1"/>
  <c r="AH107" i="2" s="1"/>
  <c r="AA105" i="2"/>
  <c r="AB105" i="2" s="1"/>
  <c r="AC105" i="2" s="1"/>
  <c r="AD105" i="2" s="1"/>
  <c r="AE105" i="2" s="1"/>
  <c r="AF105" i="2" s="1"/>
  <c r="AG105" i="2" s="1"/>
  <c r="AH105" i="2" s="1"/>
  <c r="AA101" i="2"/>
  <c r="AB101" i="2" s="1"/>
  <c r="AC101" i="2" s="1"/>
  <c r="AD101" i="2" s="1"/>
  <c r="AE101" i="2" s="1"/>
  <c r="AF101" i="2" s="1"/>
  <c r="AG101" i="2" s="1"/>
  <c r="AH101" i="2" s="1"/>
  <c r="AA82" i="2"/>
  <c r="AB82" i="2" s="1"/>
  <c r="AC82" i="2" s="1"/>
  <c r="AD82" i="2" s="1"/>
  <c r="AE82" i="2" s="1"/>
  <c r="AF82" i="2" s="1"/>
  <c r="AG82" i="2" s="1"/>
  <c r="AH82" i="2" s="1"/>
  <c r="Y223" i="2"/>
  <c r="Z223" i="2" s="1"/>
  <c r="Y222" i="2"/>
  <c r="Z222" i="2" s="1"/>
  <c r="AA222" i="2"/>
  <c r="AB222" i="2" s="1"/>
  <c r="AA223" i="2"/>
  <c r="AB223" i="2" s="1"/>
  <c r="AC223" i="2" s="1"/>
  <c r="AD223" i="2" s="1"/>
  <c r="AE223" i="2" s="1"/>
  <c r="AF223" i="2" s="1"/>
  <c r="AG223" i="2" s="1"/>
  <c r="AH223" i="2" s="1"/>
  <c r="AA93" i="2"/>
  <c r="AB93" i="2" s="1"/>
  <c r="AC93" i="2" s="1"/>
  <c r="AD93" i="2" s="1"/>
  <c r="AE93" i="2" s="1"/>
  <c r="AF93" i="2" s="1"/>
  <c r="AG93" i="2" s="1"/>
  <c r="AH93" i="2" s="1"/>
  <c r="AA92" i="2"/>
  <c r="AB92" i="2" s="1"/>
  <c r="AC92" i="2" s="1"/>
  <c r="AD92" i="2" s="1"/>
  <c r="AE92" i="2" s="1"/>
  <c r="AF92" i="2" s="1"/>
  <c r="AG92" i="2" s="1"/>
  <c r="AH92" i="2" s="1"/>
  <c r="AA89" i="2"/>
  <c r="AB89" i="2" s="1"/>
  <c r="AC89" i="2" s="1"/>
  <c r="AD89" i="2" s="1"/>
  <c r="AE89" i="2" s="1"/>
  <c r="AF89" i="2" s="1"/>
  <c r="AG89" i="2" s="1"/>
  <c r="AH89" i="2" s="1"/>
  <c r="AA88" i="2"/>
  <c r="AB88" i="2" s="1"/>
  <c r="AC88" i="2" s="1"/>
  <c r="AA52" i="2"/>
  <c r="AB52" i="2" s="1"/>
  <c r="AC52" i="2" s="1"/>
  <c r="AD52" i="2" s="1"/>
  <c r="AE52" i="2" s="1"/>
  <c r="AF52" i="2" s="1"/>
  <c r="AG52" i="2" s="1"/>
  <c r="AH52" i="2" s="1"/>
  <c r="M207" i="2"/>
  <c r="S30" i="2"/>
  <c r="S29" i="2"/>
  <c r="S28" i="2"/>
  <c r="Z25" i="2"/>
  <c r="AA25" i="2" s="1"/>
  <c r="S174" i="2"/>
  <c r="Y155" i="2"/>
  <c r="Z155" i="2" s="1"/>
  <c r="AA155" i="2" s="1"/>
  <c r="AB155" i="2" s="1"/>
  <c r="AC155" i="2" s="1"/>
  <c r="AD155" i="2" s="1"/>
  <c r="AE155" i="2" s="1"/>
  <c r="AF155" i="2" s="1"/>
  <c r="AG155" i="2" s="1"/>
  <c r="AH155" i="2" s="1"/>
  <c r="M167" i="2"/>
  <c r="M166" i="2"/>
  <c r="M165" i="2"/>
  <c r="N26" i="2"/>
  <c r="O26" i="2"/>
  <c r="P26" i="2"/>
  <c r="S26" i="2"/>
  <c r="R26" i="2"/>
  <c r="G184" i="2"/>
  <c r="AI218" i="2"/>
  <c r="AB213" i="2"/>
  <c r="T213" i="2" s="1"/>
  <c r="AB207" i="2"/>
  <c r="AC207" i="2" s="1"/>
  <c r="AD207" i="2" s="1"/>
  <c r="AE207" i="2" s="1"/>
  <c r="AF207" i="2" s="1"/>
  <c r="AG207" i="2" s="1"/>
  <c r="AH207" i="2" s="1"/>
  <c r="Z207" i="2"/>
  <c r="R207" i="2"/>
  <c r="L207" i="2"/>
  <c r="E207" i="2"/>
  <c r="F207" i="2"/>
  <c r="G207" i="2"/>
  <c r="H207" i="2"/>
  <c r="I207" i="2"/>
  <c r="J207" i="2"/>
  <c r="K207" i="2"/>
  <c r="D207" i="2"/>
  <c r="AB206" i="2"/>
  <c r="AC206" i="2" s="1"/>
  <c r="Y197" i="2"/>
  <c r="Y196" i="2"/>
  <c r="AC197" i="2"/>
  <c r="AD197" i="2" s="1"/>
  <c r="AE197" i="2" s="1"/>
  <c r="AF197" i="2" s="1"/>
  <c r="R197" i="2"/>
  <c r="R196" i="2"/>
  <c r="E196" i="2"/>
  <c r="F196" i="2"/>
  <c r="G196" i="2"/>
  <c r="H196" i="2"/>
  <c r="I196" i="2"/>
  <c r="J196" i="2"/>
  <c r="K196" i="2"/>
  <c r="L196" i="2"/>
  <c r="M196" i="2"/>
  <c r="E197" i="2"/>
  <c r="F197" i="2"/>
  <c r="G197" i="2"/>
  <c r="H197" i="2"/>
  <c r="I197" i="2"/>
  <c r="J197" i="2"/>
  <c r="K197" i="2"/>
  <c r="L197" i="2"/>
  <c r="M197" i="2"/>
  <c r="AB192" i="2"/>
  <c r="R192" i="2"/>
  <c r="R191" i="2"/>
  <c r="E191" i="2"/>
  <c r="F191" i="2"/>
  <c r="G191" i="2"/>
  <c r="H191" i="2"/>
  <c r="I191" i="2"/>
  <c r="J191" i="2"/>
  <c r="K191" i="2"/>
  <c r="L191" i="2"/>
  <c r="M191" i="2"/>
  <c r="E192" i="2"/>
  <c r="F192" i="2"/>
  <c r="G192" i="2"/>
  <c r="H192" i="2"/>
  <c r="I192" i="2"/>
  <c r="J192" i="2"/>
  <c r="K192" i="2"/>
  <c r="L192" i="2"/>
  <c r="M192" i="2"/>
  <c r="D192" i="2"/>
  <c r="D191" i="2"/>
  <c r="R188" i="2"/>
  <c r="E188" i="2"/>
  <c r="F188" i="2"/>
  <c r="G188" i="2"/>
  <c r="H188" i="2"/>
  <c r="I188" i="2"/>
  <c r="J188" i="2"/>
  <c r="K188" i="2"/>
  <c r="L188" i="2"/>
  <c r="M188" i="2"/>
  <c r="D188" i="2"/>
  <c r="AB188" i="2"/>
  <c r="Y188" i="2"/>
  <c r="Y13" i="2" s="1"/>
  <c r="AD185" i="2"/>
  <c r="AE185" i="2" s="1"/>
  <c r="AF185" i="2" s="1"/>
  <c r="AG185" i="2" s="1"/>
  <c r="AH185" i="2" s="1"/>
  <c r="AB184" i="2"/>
  <c r="R185" i="2"/>
  <c r="R184" i="2"/>
  <c r="E184" i="2"/>
  <c r="F184" i="2"/>
  <c r="H184" i="2"/>
  <c r="I184" i="2"/>
  <c r="J184" i="2"/>
  <c r="K184" i="2"/>
  <c r="L184" i="2"/>
  <c r="M184" i="2"/>
  <c r="E185" i="2"/>
  <c r="F185" i="2"/>
  <c r="G185" i="2"/>
  <c r="H185" i="2"/>
  <c r="I185" i="2"/>
  <c r="J185" i="2"/>
  <c r="K185" i="2"/>
  <c r="L185" i="2"/>
  <c r="M185" i="2"/>
  <c r="D185" i="2"/>
  <c r="D184" i="2"/>
  <c r="AG30" i="2"/>
  <c r="AH30" i="2"/>
  <c r="AH35" i="2" s="1"/>
  <c r="AG136" i="2"/>
  <c r="AH136" i="2"/>
  <c r="AG174" i="2"/>
  <c r="AH174" i="2"/>
  <c r="AF174" i="2"/>
  <c r="AF136" i="2"/>
  <c r="AF30" i="2"/>
  <c r="AE174" i="2"/>
  <c r="AE136" i="2"/>
  <c r="AE30" i="2"/>
  <c r="AD174" i="2"/>
  <c r="AD136" i="2"/>
  <c r="AD30" i="2"/>
  <c r="AC174" i="2"/>
  <c r="AC136" i="2"/>
  <c r="AC30" i="2"/>
  <c r="AB174" i="2"/>
  <c r="AB136" i="2"/>
  <c r="AB30" i="2"/>
  <c r="AA174" i="2"/>
  <c r="AA148" i="2"/>
  <c r="AA136" i="2"/>
  <c r="AA127" i="2"/>
  <c r="Z174" i="2"/>
  <c r="Z136" i="2"/>
  <c r="Z30" i="2"/>
  <c r="Z35" i="2" s="1"/>
  <c r="Y174" i="2"/>
  <c r="Y136" i="2"/>
  <c r="C48" i="2"/>
  <c r="D48" i="2"/>
  <c r="E48" i="2"/>
  <c r="F48" i="2"/>
  <c r="G48" i="2"/>
  <c r="H48" i="2"/>
  <c r="I48" i="2"/>
  <c r="J48" i="2"/>
  <c r="AC184" i="2" l="1"/>
  <c r="AD184" i="2" s="1"/>
  <c r="AE184" i="2" s="1"/>
  <c r="AF184" i="2" s="1"/>
  <c r="AG184" i="2" s="1"/>
  <c r="AH184" i="2" s="1"/>
  <c r="AB8" i="2"/>
  <c r="AB18" i="2" s="1"/>
  <c r="Z197" i="2"/>
  <c r="Y24" i="2"/>
  <c r="Z196" i="2"/>
  <c r="Z23" i="2" s="1"/>
  <c r="Y23" i="2"/>
  <c r="AC188" i="2"/>
  <c r="AD188" i="2" s="1"/>
  <c r="AE188" i="2" s="1"/>
  <c r="AF188" i="2" s="1"/>
  <c r="AG188" i="2" s="1"/>
  <c r="AH188" i="2" s="1"/>
  <c r="AB13" i="2"/>
  <c r="AB16" i="2" s="1"/>
  <c r="Y28" i="2"/>
  <c r="Y16" i="2"/>
  <c r="AA30" i="2"/>
  <c r="X110" i="2"/>
  <c r="Y110" i="2" s="1"/>
  <c r="Z110" i="2" s="1"/>
  <c r="AA110" i="2" s="1"/>
  <c r="AB110" i="2" s="1"/>
  <c r="AC110" i="2" s="1"/>
  <c r="AD110" i="2" s="1"/>
  <c r="AE110" i="2" s="1"/>
  <c r="AF110" i="2" s="1"/>
  <c r="AG110" i="2" s="1"/>
  <c r="AH110" i="2" s="1"/>
  <c r="L11" i="23"/>
  <c r="Z53" i="2"/>
  <c r="AA53" i="2" s="1"/>
  <c r="AB53" i="2" s="1"/>
  <c r="AC53" i="2" s="1"/>
  <c r="AD53" i="2" s="1"/>
  <c r="AE53" i="2" s="1"/>
  <c r="AF53" i="2" s="1"/>
  <c r="AG53" i="2" s="1"/>
  <c r="AH53" i="2" s="1"/>
  <c r="AJ184" i="2"/>
  <c r="AJ191" i="2"/>
  <c r="AJ197" i="2"/>
  <c r="AJ185" i="2"/>
  <c r="AJ188" i="2"/>
  <c r="AJ192" i="2"/>
  <c r="AJ196" i="2"/>
  <c r="AJ207" i="2"/>
  <c r="AG197" i="2"/>
  <c r="AH197" i="2" s="1"/>
  <c r="R195" i="2"/>
  <c r="AC196" i="2"/>
  <c r="AD206" i="2"/>
  <c r="AE206" i="2" s="1"/>
  <c r="AF206" i="2" s="1"/>
  <c r="AG206" i="2" s="1"/>
  <c r="AH206" i="2" s="1"/>
  <c r="AC35" i="2"/>
  <c r="AG35" i="2"/>
  <c r="Z124" i="2"/>
  <c r="Y167" i="2"/>
  <c r="Z167" i="2" s="1"/>
  <c r="AA167" i="2" s="1"/>
  <c r="M168" i="2"/>
  <c r="Y185" i="2"/>
  <c r="Y35" i="2"/>
  <c r="AD35" i="2"/>
  <c r="AD124" i="2"/>
  <c r="AD88" i="2"/>
  <c r="AE88" i="2" s="1"/>
  <c r="Y124" i="2"/>
  <c r="AB35" i="2"/>
  <c r="AC124" i="2"/>
  <c r="AB124" i="2"/>
  <c r="AC68" i="2"/>
  <c r="AC70" i="2" s="1"/>
  <c r="AB68" i="2"/>
  <c r="AB70" i="2" s="1"/>
  <c r="AC222" i="2"/>
  <c r="AF35" i="2"/>
  <c r="AE35" i="2"/>
  <c r="AC213" i="2"/>
  <c r="AD213" i="2" s="1"/>
  <c r="AE213" i="2" s="1"/>
  <c r="AF213" i="2" s="1"/>
  <c r="AG213" i="2" s="1"/>
  <c r="AH213" i="2" s="1"/>
  <c r="Y213" i="2"/>
  <c r="Z213" i="2" s="1"/>
  <c r="AC192" i="2"/>
  <c r="Z188" i="2"/>
  <c r="T11" i="2"/>
  <c r="T226" i="2" s="1"/>
  <c r="R179" i="2"/>
  <c r="AA219" i="2" s="1"/>
  <c r="Q178" i="2"/>
  <c r="Q177" i="2"/>
  <c r="Q176" i="2"/>
  <c r="Q173" i="2"/>
  <c r="Q172" i="2"/>
  <c r="Q171" i="2"/>
  <c r="Q111" i="2"/>
  <c r="Q110" i="2"/>
  <c r="Q106" i="2"/>
  <c r="Q92" i="2"/>
  <c r="Q89" i="2"/>
  <c r="Q88" i="2"/>
  <c r="Q86" i="2"/>
  <c r="Q85" i="2"/>
  <c r="Q64" i="2"/>
  <c r="Q50" i="2"/>
  <c r="Q48" i="2" s="1"/>
  <c r="Q49" i="2"/>
  <c r="Q42" i="2"/>
  <c r="Q38" i="2"/>
  <c r="Q25" i="2"/>
  <c r="Q24" i="2"/>
  <c r="Q23" i="2"/>
  <c r="Q20" i="2"/>
  <c r="Q19" i="2"/>
  <c r="Q18" i="2"/>
  <c r="Q15" i="2"/>
  <c r="Q14" i="2"/>
  <c r="Q13" i="2"/>
  <c r="Q10" i="2"/>
  <c r="Q9" i="2"/>
  <c r="Q8" i="2"/>
  <c r="N104" i="2"/>
  <c r="N99" i="2"/>
  <c r="N102" i="2" s="1"/>
  <c r="O104" i="2"/>
  <c r="O99" i="2"/>
  <c r="O102" i="2" s="1"/>
  <c r="O68" i="2"/>
  <c r="O70" i="2" s="1"/>
  <c r="O63" i="2"/>
  <c r="O66" i="2" s="1"/>
  <c r="P104" i="2"/>
  <c r="P99" i="2"/>
  <c r="P102" i="2" s="1"/>
  <c r="P68" i="2"/>
  <c r="P70" i="2" s="1"/>
  <c r="S114" i="2"/>
  <c r="S104" i="2"/>
  <c r="S99" i="2"/>
  <c r="N68" i="2"/>
  <c r="N70" i="2" s="1"/>
  <c r="N63" i="2"/>
  <c r="N66" i="2" s="1"/>
  <c r="S68" i="2"/>
  <c r="S63" i="2"/>
  <c r="S66" i="2" s="1"/>
  <c r="R113" i="2"/>
  <c r="Q113" i="2" s="1"/>
  <c r="R112" i="2"/>
  <c r="R104" i="2"/>
  <c r="R99" i="2"/>
  <c r="R69" i="2"/>
  <c r="Q69" i="2" s="1"/>
  <c r="R68" i="2"/>
  <c r="R65" i="2"/>
  <c r="Q65" i="2" s="1"/>
  <c r="R63" i="2"/>
  <c r="Z68" i="2"/>
  <c r="Z70" i="2" s="1"/>
  <c r="S148" i="2"/>
  <c r="S136" i="2"/>
  <c r="S127" i="2"/>
  <c r="S87" i="2"/>
  <c r="S90" i="2" s="1"/>
  <c r="S35" i="2"/>
  <c r="AA35" i="2" s="1"/>
  <c r="S34" i="2"/>
  <c r="S33" i="2"/>
  <c r="S21" i="2"/>
  <c r="S16" i="2"/>
  <c r="N179" i="2"/>
  <c r="N174" i="2"/>
  <c r="N168" i="2"/>
  <c r="N162" i="2"/>
  <c r="N156" i="2"/>
  <c r="N148" i="2"/>
  <c r="N136" i="2"/>
  <c r="N127" i="2"/>
  <c r="N114" i="2"/>
  <c r="N87" i="2"/>
  <c r="N90" i="2" s="1"/>
  <c r="N30" i="2"/>
  <c r="N35" i="2" s="1"/>
  <c r="N29" i="2"/>
  <c r="N34" i="2" s="1"/>
  <c r="N28" i="2"/>
  <c r="N21" i="2"/>
  <c r="N16" i="2"/>
  <c r="N11" i="2"/>
  <c r="O179" i="2"/>
  <c r="O174" i="2"/>
  <c r="O168" i="2"/>
  <c r="O162" i="2"/>
  <c r="O156" i="2"/>
  <c r="O148" i="2"/>
  <c r="O136" i="2"/>
  <c r="O127" i="2"/>
  <c r="O114" i="2"/>
  <c r="O87" i="2"/>
  <c r="O90" i="2" s="1"/>
  <c r="O30" i="2"/>
  <c r="O35" i="2" s="1"/>
  <c r="O29" i="2"/>
  <c r="O34" i="2" s="1"/>
  <c r="O28" i="2"/>
  <c r="O33" i="2" s="1"/>
  <c r="O21" i="2"/>
  <c r="O16" i="2"/>
  <c r="O11" i="2"/>
  <c r="P179" i="2"/>
  <c r="P174" i="2"/>
  <c r="P168" i="2"/>
  <c r="P162" i="2"/>
  <c r="P156" i="2"/>
  <c r="P148" i="2"/>
  <c r="P136" i="2"/>
  <c r="P127" i="2"/>
  <c r="P114" i="2"/>
  <c r="P87" i="2"/>
  <c r="P90" i="2" s="1"/>
  <c r="P66" i="2"/>
  <c r="P30" i="2"/>
  <c r="P35" i="2" s="1"/>
  <c r="P29" i="2"/>
  <c r="P34" i="2" s="1"/>
  <c r="P28" i="2"/>
  <c r="P33" i="2" s="1"/>
  <c r="P21" i="2"/>
  <c r="P16" i="2"/>
  <c r="P11" i="2"/>
  <c r="Q168" i="2"/>
  <c r="Q162" i="2"/>
  <c r="Q156" i="2"/>
  <c r="Q148" i="2"/>
  <c r="Q136" i="2"/>
  <c r="Q127" i="2"/>
  <c r="R174" i="2"/>
  <c r="R167" i="2"/>
  <c r="R166" i="2"/>
  <c r="R165" i="2"/>
  <c r="R162" i="2"/>
  <c r="R156" i="2"/>
  <c r="R148" i="2"/>
  <c r="R136" i="2"/>
  <c r="R127" i="2"/>
  <c r="R87" i="2"/>
  <c r="R90" i="2" s="1"/>
  <c r="R30" i="2"/>
  <c r="R29" i="2"/>
  <c r="R34" i="2" s="1"/>
  <c r="R28" i="2"/>
  <c r="R33" i="2" s="1"/>
  <c r="R21" i="2"/>
  <c r="R16" i="2"/>
  <c r="R11" i="2"/>
  <c r="C94" i="23" l="1"/>
  <c r="F94" i="23"/>
  <c r="F122" i="23" s="1"/>
  <c r="E94" i="23"/>
  <c r="D94" i="23"/>
  <c r="Y33" i="2"/>
  <c r="S70" i="2"/>
  <c r="S205" i="2"/>
  <c r="Z185" i="2"/>
  <c r="Y9" i="2"/>
  <c r="Y26" i="2"/>
  <c r="AA23" i="2"/>
  <c r="Y160" i="2"/>
  <c r="AB167" i="2"/>
  <c r="AC167" i="2" s="1"/>
  <c r="AD167" i="2" s="1"/>
  <c r="AE167" i="2" s="1"/>
  <c r="AF167" i="2" s="1"/>
  <c r="AG167" i="2" s="1"/>
  <c r="AH167" i="2" s="1"/>
  <c r="AD196" i="2"/>
  <c r="Y154" i="2"/>
  <c r="R226" i="2"/>
  <c r="Q99" i="2"/>
  <c r="Q102" i="2" s="1"/>
  <c r="Z9" i="2"/>
  <c r="T21" i="2"/>
  <c r="Y68" i="2"/>
  <c r="Y70" i="2" s="1"/>
  <c r="Z85" i="2"/>
  <c r="AA99" i="2"/>
  <c r="AB99" i="2" s="1"/>
  <c r="AC99" i="2" s="1"/>
  <c r="AD99" i="2" s="1"/>
  <c r="R223" i="2"/>
  <c r="R222" i="2"/>
  <c r="AE124" i="2"/>
  <c r="T102" i="2"/>
  <c r="AF88" i="2"/>
  <c r="AF124" i="2"/>
  <c r="AD68" i="2"/>
  <c r="AD70" i="2" s="1"/>
  <c r="Y153" i="2"/>
  <c r="Z24" i="2" s="1"/>
  <c r="AA24" i="2" s="1"/>
  <c r="AD222" i="2"/>
  <c r="T26" i="2"/>
  <c r="AD192" i="2"/>
  <c r="Q104" i="2"/>
  <c r="R205" i="2"/>
  <c r="Q26" i="2"/>
  <c r="AE191" i="2"/>
  <c r="T16" i="2"/>
  <c r="R217" i="2"/>
  <c r="R216" i="2"/>
  <c r="R70" i="2"/>
  <c r="Q63" i="2"/>
  <c r="Q66" i="2" s="1"/>
  <c r="S102" i="2"/>
  <c r="S108" i="2" s="1"/>
  <c r="S116" i="2" s="1"/>
  <c r="Q174" i="2"/>
  <c r="R102" i="2"/>
  <c r="R108" i="2" s="1"/>
  <c r="Q179" i="2"/>
  <c r="Q68" i="2"/>
  <c r="Q70" i="2" s="1"/>
  <c r="P108" i="2"/>
  <c r="P116" i="2" s="1"/>
  <c r="O108" i="2"/>
  <c r="O116" i="2" s="1"/>
  <c r="Q28" i="2"/>
  <c r="Q33" i="2" s="1"/>
  <c r="Q16" i="2"/>
  <c r="Q30" i="2"/>
  <c r="Q35" i="2" s="1"/>
  <c r="R66" i="2"/>
  <c r="R114" i="2"/>
  <c r="Q21" i="2"/>
  <c r="Q112" i="2"/>
  <c r="Q114" i="2" s="1"/>
  <c r="Q87" i="2"/>
  <c r="Q90" i="2" s="1"/>
  <c r="Q29" i="2"/>
  <c r="Q34" i="2" s="1"/>
  <c r="Q11" i="2"/>
  <c r="N108" i="2"/>
  <c r="N116" i="2" s="1"/>
  <c r="O31" i="2"/>
  <c r="P36" i="2"/>
  <c r="P40" i="2" s="1"/>
  <c r="P44" i="2" s="1"/>
  <c r="P57" i="2" s="1"/>
  <c r="P61" i="2" s="1"/>
  <c r="P31" i="2"/>
  <c r="N31" i="2"/>
  <c r="S31" i="2"/>
  <c r="S36" i="2"/>
  <c r="S40" i="2" s="1"/>
  <c r="S44" i="2" s="1"/>
  <c r="N33" i="2"/>
  <c r="N36" i="2" s="1"/>
  <c r="N40" i="2" s="1"/>
  <c r="N44" i="2" s="1"/>
  <c r="O36" i="2"/>
  <c r="O40" i="2" s="1"/>
  <c r="O44" i="2" s="1"/>
  <c r="R168" i="2"/>
  <c r="R31" i="2"/>
  <c r="R35" i="2"/>
  <c r="R36" i="2" s="1"/>
  <c r="C147" i="2"/>
  <c r="C148" i="2" s="1"/>
  <c r="C123" i="2"/>
  <c r="C127" i="2" s="1"/>
  <c r="C99" i="2"/>
  <c r="C205" i="2" s="1"/>
  <c r="C63" i="2"/>
  <c r="C66" i="2" s="1"/>
  <c r="D147" i="2"/>
  <c r="D148" i="2" s="1"/>
  <c r="D123" i="2"/>
  <c r="D127" i="2" s="1"/>
  <c r="D104" i="2"/>
  <c r="D99" i="2"/>
  <c r="D102" i="2" s="1"/>
  <c r="D63" i="2"/>
  <c r="D66" i="2" s="1"/>
  <c r="E147" i="2"/>
  <c r="E148" i="2" s="1"/>
  <c r="E123" i="2"/>
  <c r="E127" i="2" s="1"/>
  <c r="F104" i="2"/>
  <c r="E104" i="2"/>
  <c r="E99" i="2"/>
  <c r="E102" i="2" s="1"/>
  <c r="E65" i="2"/>
  <c r="E63" i="2"/>
  <c r="F147" i="2"/>
  <c r="F148" i="2" s="1"/>
  <c r="F123" i="2"/>
  <c r="F127" i="2" s="1"/>
  <c r="F99" i="2"/>
  <c r="F102" i="2" s="1"/>
  <c r="F63" i="2"/>
  <c r="F66" i="2" s="1"/>
  <c r="G147" i="2"/>
  <c r="G148" i="2" s="1"/>
  <c r="G104" i="2"/>
  <c r="G99" i="2"/>
  <c r="G102" i="2" s="1"/>
  <c r="G63" i="2"/>
  <c r="G66" i="2" s="1"/>
  <c r="H122" i="2"/>
  <c r="H104" i="2"/>
  <c r="H205" i="2" s="1"/>
  <c r="H68" i="2"/>
  <c r="H63" i="2"/>
  <c r="H66" i="2" s="1"/>
  <c r="I147" i="2"/>
  <c r="I148" i="2" s="1"/>
  <c r="I104" i="2"/>
  <c r="I99" i="2"/>
  <c r="I102" i="2" s="1"/>
  <c r="I68" i="2"/>
  <c r="I63" i="2"/>
  <c r="I66" i="2" s="1"/>
  <c r="I16" i="2"/>
  <c r="J147" i="2"/>
  <c r="J148" i="2" s="1"/>
  <c r="J126" i="2"/>
  <c r="J123" i="2"/>
  <c r="J104" i="2"/>
  <c r="J205" i="2" s="1"/>
  <c r="J69" i="2"/>
  <c r="J68" i="2"/>
  <c r="J63" i="2"/>
  <c r="J66" i="2" s="1"/>
  <c r="K147" i="2"/>
  <c r="K148" i="2" s="1"/>
  <c r="K104" i="2"/>
  <c r="K99" i="2"/>
  <c r="K102" i="2" s="1"/>
  <c r="K68" i="2"/>
  <c r="K63" i="2"/>
  <c r="K66" i="2" s="1"/>
  <c r="C26" i="2"/>
  <c r="D26" i="2"/>
  <c r="E26" i="2"/>
  <c r="F26" i="2"/>
  <c r="G26" i="2"/>
  <c r="H26" i="2"/>
  <c r="I26" i="2"/>
  <c r="J26" i="2"/>
  <c r="K26" i="2"/>
  <c r="C21" i="2"/>
  <c r="D21" i="2"/>
  <c r="E21" i="2"/>
  <c r="F21" i="2"/>
  <c r="G21" i="2"/>
  <c r="H21" i="2"/>
  <c r="I21" i="2"/>
  <c r="J21" i="2"/>
  <c r="K21" i="2"/>
  <c r="C16" i="2"/>
  <c r="D16" i="2"/>
  <c r="E16" i="2"/>
  <c r="F16" i="2"/>
  <c r="G16" i="2"/>
  <c r="H16" i="2"/>
  <c r="J16" i="2"/>
  <c r="K16" i="2"/>
  <c r="C167" i="2"/>
  <c r="C166" i="2"/>
  <c r="C165" i="2"/>
  <c r="D167" i="2"/>
  <c r="D166" i="2"/>
  <c r="D165" i="2"/>
  <c r="E167" i="2"/>
  <c r="E166" i="2"/>
  <c r="E165" i="2"/>
  <c r="F167" i="2"/>
  <c r="F166" i="2"/>
  <c r="F165" i="2"/>
  <c r="G167" i="2"/>
  <c r="G166" i="2"/>
  <c r="G165" i="2"/>
  <c r="H167" i="2"/>
  <c r="H166" i="2"/>
  <c r="H165" i="2"/>
  <c r="I167" i="2"/>
  <c r="I166" i="2"/>
  <c r="I165" i="2"/>
  <c r="J167" i="2"/>
  <c r="J166" i="2"/>
  <c r="J165" i="2"/>
  <c r="K167" i="2"/>
  <c r="K166" i="2"/>
  <c r="K165" i="2"/>
  <c r="L167" i="2"/>
  <c r="L166" i="2"/>
  <c r="L165" i="2"/>
  <c r="C28" i="2"/>
  <c r="C33" i="2" s="1"/>
  <c r="E28" i="2"/>
  <c r="E33" i="2" s="1"/>
  <c r="F28" i="2"/>
  <c r="F33" i="2" s="1"/>
  <c r="H28" i="2"/>
  <c r="I28" i="2"/>
  <c r="I33" i="2" s="1"/>
  <c r="J28" i="2"/>
  <c r="J33" i="2" s="1"/>
  <c r="K28" i="2"/>
  <c r="K33" i="2" s="1"/>
  <c r="L28" i="2"/>
  <c r="C29" i="2"/>
  <c r="C34" i="2" s="1"/>
  <c r="D29" i="2"/>
  <c r="D34" i="2" s="1"/>
  <c r="E29" i="2"/>
  <c r="E34" i="2" s="1"/>
  <c r="F29" i="2"/>
  <c r="F34" i="2" s="1"/>
  <c r="G29" i="2"/>
  <c r="G34" i="2" s="1"/>
  <c r="H29" i="2"/>
  <c r="H34" i="2" s="1"/>
  <c r="I29" i="2"/>
  <c r="I34" i="2" s="1"/>
  <c r="J29" i="2"/>
  <c r="J34" i="2" s="1"/>
  <c r="K29" i="2"/>
  <c r="K34" i="2" s="1"/>
  <c r="L29" i="2"/>
  <c r="L34" i="2" s="1"/>
  <c r="C30" i="2"/>
  <c r="D30" i="2"/>
  <c r="D35" i="2" s="1"/>
  <c r="E30" i="2"/>
  <c r="E35" i="2" s="1"/>
  <c r="F30" i="2"/>
  <c r="F35" i="2" s="1"/>
  <c r="G30" i="2"/>
  <c r="G35" i="2" s="1"/>
  <c r="H30" i="2"/>
  <c r="I30" i="2"/>
  <c r="I35" i="2" s="1"/>
  <c r="J30" i="2"/>
  <c r="J35" i="2" s="1"/>
  <c r="K30" i="2"/>
  <c r="K35" i="2" s="1"/>
  <c r="L30" i="2"/>
  <c r="L35" i="2" s="1"/>
  <c r="M11" i="2"/>
  <c r="L11" i="2"/>
  <c r="L16" i="2"/>
  <c r="L21" i="2"/>
  <c r="L26" i="2"/>
  <c r="C174" i="2"/>
  <c r="D174" i="2"/>
  <c r="E174" i="2"/>
  <c r="F174" i="2"/>
  <c r="G174" i="2"/>
  <c r="H174" i="2"/>
  <c r="I174" i="2"/>
  <c r="J174" i="2"/>
  <c r="K174" i="2"/>
  <c r="L174" i="2"/>
  <c r="M174" i="2"/>
  <c r="C179" i="2"/>
  <c r="D179" i="2"/>
  <c r="E179" i="2"/>
  <c r="F179" i="2"/>
  <c r="G179" i="2"/>
  <c r="H179" i="2"/>
  <c r="I179" i="2"/>
  <c r="J179" i="2"/>
  <c r="K179" i="2"/>
  <c r="L179" i="2"/>
  <c r="M179" i="2"/>
  <c r="M30" i="2"/>
  <c r="M35" i="2" s="1"/>
  <c r="M29" i="2"/>
  <c r="M34" i="2" s="1"/>
  <c r="M28" i="2"/>
  <c r="M33" i="2" s="1"/>
  <c r="M16" i="2"/>
  <c r="M26" i="2"/>
  <c r="M21" i="2"/>
  <c r="L148" i="2"/>
  <c r="M147" i="2"/>
  <c r="M148" i="2" s="1"/>
  <c r="C136" i="2"/>
  <c r="D136" i="2"/>
  <c r="E136" i="2"/>
  <c r="F136" i="2"/>
  <c r="G136" i="2"/>
  <c r="H136" i="2"/>
  <c r="I136" i="2"/>
  <c r="J136" i="2"/>
  <c r="K136" i="2"/>
  <c r="L136" i="2"/>
  <c r="G127" i="2"/>
  <c r="I127" i="2"/>
  <c r="K127" i="2"/>
  <c r="L127" i="2"/>
  <c r="M127" i="2"/>
  <c r="C162" i="2"/>
  <c r="D162" i="2"/>
  <c r="E162" i="2"/>
  <c r="F162" i="2"/>
  <c r="G162" i="2"/>
  <c r="H162" i="2"/>
  <c r="I162" i="2"/>
  <c r="J162" i="2"/>
  <c r="K162" i="2"/>
  <c r="L162" i="2"/>
  <c r="M162" i="2"/>
  <c r="R201" i="2" s="1"/>
  <c r="C156" i="2"/>
  <c r="D156" i="2"/>
  <c r="E156" i="2"/>
  <c r="F156" i="2"/>
  <c r="G156" i="2"/>
  <c r="H156" i="2"/>
  <c r="I156" i="2"/>
  <c r="J156" i="2"/>
  <c r="K156" i="2"/>
  <c r="L156" i="2"/>
  <c r="M156" i="2"/>
  <c r="R202" i="2" s="1"/>
  <c r="L104" i="2"/>
  <c r="L99" i="2"/>
  <c r="L102" i="2" s="1"/>
  <c r="C114" i="2"/>
  <c r="D114" i="2"/>
  <c r="E114" i="2"/>
  <c r="F114" i="2"/>
  <c r="G114" i="2"/>
  <c r="H114" i="2"/>
  <c r="I114" i="2"/>
  <c r="J114" i="2"/>
  <c r="K114" i="2"/>
  <c r="L114" i="2"/>
  <c r="M114" i="2"/>
  <c r="M104" i="2"/>
  <c r="H102" i="2"/>
  <c r="J102" i="2"/>
  <c r="M99" i="2"/>
  <c r="M102" i="2" s="1"/>
  <c r="C87" i="2"/>
  <c r="C90" i="2" s="1"/>
  <c r="D87" i="2"/>
  <c r="D90" i="2" s="1"/>
  <c r="E87" i="2"/>
  <c r="E90" i="2" s="1"/>
  <c r="F87" i="2"/>
  <c r="F90" i="2" s="1"/>
  <c r="G87" i="2"/>
  <c r="G90" i="2" s="1"/>
  <c r="H87" i="2"/>
  <c r="H90" i="2" s="1"/>
  <c r="I87" i="2"/>
  <c r="I90" i="2" s="1"/>
  <c r="J87" i="2"/>
  <c r="J90" i="2" s="1"/>
  <c r="K87" i="2"/>
  <c r="K90" i="2" s="1"/>
  <c r="L87" i="2"/>
  <c r="L90" i="2" s="1"/>
  <c r="M87" i="2"/>
  <c r="M90" i="2" s="1"/>
  <c r="L68" i="2"/>
  <c r="L63" i="2"/>
  <c r="L66" i="2" s="1"/>
  <c r="C70" i="2"/>
  <c r="D70" i="2"/>
  <c r="E70" i="2"/>
  <c r="F70" i="2"/>
  <c r="G70" i="2"/>
  <c r="M68" i="2"/>
  <c r="M63" i="2"/>
  <c r="M66" i="2" s="1"/>
  <c r="C11" i="2"/>
  <c r="D11" i="2"/>
  <c r="E11" i="2"/>
  <c r="F11" i="2"/>
  <c r="G11" i="2"/>
  <c r="H11" i="2"/>
  <c r="I11" i="2"/>
  <c r="AB59" i="3" s="1"/>
  <c r="J11" i="2"/>
  <c r="K11" i="2"/>
  <c r="C122" i="23" l="1"/>
  <c r="AA68" i="2"/>
  <c r="Z160" i="2"/>
  <c r="Y162" i="2"/>
  <c r="Y19" i="2"/>
  <c r="Y21" i="2" s="1"/>
  <c r="Y11" i="2"/>
  <c r="Y86" i="2"/>
  <c r="Y87" i="2" s="1"/>
  <c r="Y90" i="2" s="1"/>
  <c r="Y58" i="2"/>
  <c r="R238" i="2"/>
  <c r="Z51" i="3" s="1"/>
  <c r="AA26" i="2"/>
  <c r="W59" i="3"/>
  <c r="X59" i="3"/>
  <c r="V59" i="3"/>
  <c r="Y59" i="3"/>
  <c r="S57" i="2"/>
  <c r="S61" i="2" s="1"/>
  <c r="S72" i="2" s="1"/>
  <c r="AA9" i="2"/>
  <c r="AA185" i="2" s="1"/>
  <c r="Z11" i="2"/>
  <c r="Z59" i="3"/>
  <c r="L226" i="2"/>
  <c r="L216" i="2"/>
  <c r="L217" i="2"/>
  <c r="L219" i="2"/>
  <c r="L70" i="2"/>
  <c r="I70" i="2"/>
  <c r="H70" i="2"/>
  <c r="K70" i="2"/>
  <c r="M70" i="2"/>
  <c r="AA85" i="2"/>
  <c r="O57" i="2"/>
  <c r="O61" i="2" s="1"/>
  <c r="O72" i="2" s="1"/>
  <c r="K200" i="2"/>
  <c r="G200" i="2"/>
  <c r="J202" i="2"/>
  <c r="F202" i="2"/>
  <c r="M201" i="2"/>
  <c r="I201" i="2"/>
  <c r="E201" i="2"/>
  <c r="K202" i="2"/>
  <c r="G202" i="2"/>
  <c r="J201" i="2"/>
  <c r="F201" i="2"/>
  <c r="H200" i="2"/>
  <c r="M200" i="2"/>
  <c r="M202" i="2"/>
  <c r="E202" i="2"/>
  <c r="H201" i="2"/>
  <c r="R200" i="2"/>
  <c r="L202" i="2"/>
  <c r="H202" i="2"/>
  <c r="D202" i="2"/>
  <c r="K201" i="2"/>
  <c r="G201" i="2"/>
  <c r="J200" i="2"/>
  <c r="F200" i="2"/>
  <c r="D195" i="2"/>
  <c r="D200" i="2"/>
  <c r="I202" i="2"/>
  <c r="L201" i="2"/>
  <c r="D201" i="2"/>
  <c r="L200" i="2"/>
  <c r="I200" i="2"/>
  <c r="E200" i="2"/>
  <c r="J226" i="2"/>
  <c r="F226" i="2"/>
  <c r="D186" i="2"/>
  <c r="AE196" i="2"/>
  <c r="AF196" i="2" s="1"/>
  <c r="L195" i="2"/>
  <c r="E195" i="2"/>
  <c r="K195" i="2"/>
  <c r="G195" i="2"/>
  <c r="I195" i="2"/>
  <c r="M195" i="2"/>
  <c r="H195" i="2"/>
  <c r="J195" i="2"/>
  <c r="F195" i="2"/>
  <c r="I226" i="2"/>
  <c r="E226" i="2"/>
  <c r="H186" i="2"/>
  <c r="G186" i="2"/>
  <c r="R219" i="2"/>
  <c r="M226" i="2"/>
  <c r="N57" i="2"/>
  <c r="N61" i="2" s="1"/>
  <c r="N72" i="2" s="1"/>
  <c r="J186" i="2"/>
  <c r="F186" i="2"/>
  <c r="H226" i="2"/>
  <c r="D226" i="2"/>
  <c r="L186" i="2"/>
  <c r="K186" i="2"/>
  <c r="I186" i="2"/>
  <c r="E186" i="2"/>
  <c r="K226" i="2"/>
  <c r="G226" i="2"/>
  <c r="M186" i="2"/>
  <c r="R186" i="2"/>
  <c r="T70" i="2"/>
  <c r="Z19" i="2"/>
  <c r="M205" i="2"/>
  <c r="AE68" i="2"/>
  <c r="AE70" i="2" s="1"/>
  <c r="R218" i="2"/>
  <c r="Z153" i="2"/>
  <c r="AA153" i="2" s="1"/>
  <c r="H238" i="2"/>
  <c r="G222" i="2"/>
  <c r="G223" i="2"/>
  <c r="L223" i="2"/>
  <c r="L222" i="2"/>
  <c r="E222" i="2"/>
  <c r="E223" i="2"/>
  <c r="M222" i="2"/>
  <c r="M223" i="2"/>
  <c r="AG88" i="2"/>
  <c r="AG124" i="2"/>
  <c r="K223" i="2"/>
  <c r="K222" i="2"/>
  <c r="R40" i="2"/>
  <c r="D15" i="15" s="1"/>
  <c r="R239" i="2"/>
  <c r="J222" i="2"/>
  <c r="J223" i="2"/>
  <c r="F222" i="2"/>
  <c r="F223" i="2"/>
  <c r="J238" i="2"/>
  <c r="V51" i="3" s="1"/>
  <c r="I205" i="2"/>
  <c r="D205" i="2"/>
  <c r="D238" i="2" s="1"/>
  <c r="I222" i="2"/>
  <c r="I223" i="2"/>
  <c r="H223" i="2"/>
  <c r="H222" i="2"/>
  <c r="D223" i="2"/>
  <c r="D222" i="2"/>
  <c r="AE99" i="2"/>
  <c r="AF99" i="2" s="1"/>
  <c r="Y156" i="2"/>
  <c r="Z154" i="2"/>
  <c r="AA154" i="2" s="1"/>
  <c r="AE222" i="2"/>
  <c r="H216" i="2"/>
  <c r="H217" i="2"/>
  <c r="H219" i="2"/>
  <c r="D216" i="2"/>
  <c r="D217" i="2"/>
  <c r="D219" i="2"/>
  <c r="AE192" i="2"/>
  <c r="K216" i="2"/>
  <c r="K217" i="2"/>
  <c r="K219" i="2"/>
  <c r="G216" i="2"/>
  <c r="G217" i="2"/>
  <c r="G219" i="2"/>
  <c r="H127" i="2"/>
  <c r="G205" i="2"/>
  <c r="L205" i="2"/>
  <c r="J216" i="2"/>
  <c r="J217" i="2"/>
  <c r="J219" i="2"/>
  <c r="F216" i="2"/>
  <c r="F217" i="2"/>
  <c r="F219" i="2"/>
  <c r="E205" i="2"/>
  <c r="E238" i="2" s="1"/>
  <c r="AF191" i="2"/>
  <c r="Z13" i="2"/>
  <c r="I216" i="2"/>
  <c r="I217" i="2"/>
  <c r="I219" i="2"/>
  <c r="E216" i="2"/>
  <c r="E217" i="2"/>
  <c r="E219" i="2"/>
  <c r="K205" i="2"/>
  <c r="F205" i="2"/>
  <c r="F238" i="2" s="1"/>
  <c r="Q108" i="2"/>
  <c r="Q116" i="2" s="1"/>
  <c r="M217" i="2"/>
  <c r="M216" i="2"/>
  <c r="M219" i="2"/>
  <c r="Z226" i="2"/>
  <c r="C102" i="2"/>
  <c r="C108" i="2" s="1"/>
  <c r="C116" i="2" s="1"/>
  <c r="R116" i="2"/>
  <c r="H108" i="2"/>
  <c r="H116" i="2" s="1"/>
  <c r="J127" i="2"/>
  <c r="P72" i="2"/>
  <c r="Q36" i="2"/>
  <c r="Q40" i="2" s="1"/>
  <c r="Q44" i="2" s="1"/>
  <c r="Q47" i="2" s="1"/>
  <c r="Q31" i="2"/>
  <c r="C41" i="3" s="1"/>
  <c r="C47" i="3" s="1"/>
  <c r="H168" i="2"/>
  <c r="C31" i="2"/>
  <c r="D108" i="2"/>
  <c r="D116" i="2" s="1"/>
  <c r="E108" i="2"/>
  <c r="E116" i="2" s="1"/>
  <c r="E66" i="2"/>
  <c r="F108" i="2"/>
  <c r="F116" i="2" s="1"/>
  <c r="F168" i="2"/>
  <c r="G108" i="2"/>
  <c r="G116" i="2" s="1"/>
  <c r="I108" i="2"/>
  <c r="I116" i="2" s="1"/>
  <c r="I168" i="2"/>
  <c r="E36" i="2"/>
  <c r="G31" i="2"/>
  <c r="C35" i="2"/>
  <c r="C36" i="2" s="1"/>
  <c r="C40" i="2" s="1"/>
  <c r="G36" i="2"/>
  <c r="G40" i="2" s="1"/>
  <c r="G44" i="2" s="1"/>
  <c r="L168" i="2"/>
  <c r="G168" i="2"/>
  <c r="C168" i="2"/>
  <c r="J168" i="2"/>
  <c r="J108" i="2"/>
  <c r="J116" i="2" s="1"/>
  <c r="J70" i="2"/>
  <c r="I36" i="2"/>
  <c r="J31" i="2"/>
  <c r="E168" i="2"/>
  <c r="J36" i="2"/>
  <c r="F36" i="2"/>
  <c r="L31" i="2"/>
  <c r="H31" i="2"/>
  <c r="D31" i="2"/>
  <c r="H33" i="2"/>
  <c r="H36" i="2" s="1"/>
  <c r="D36" i="2"/>
  <c r="D168" i="2"/>
  <c r="F31" i="2"/>
  <c r="L33" i="2"/>
  <c r="L36" i="2" s="1"/>
  <c r="I31" i="2"/>
  <c r="E31" i="2"/>
  <c r="K108" i="2"/>
  <c r="K116" i="2" s="1"/>
  <c r="K168" i="2"/>
  <c r="K31" i="2"/>
  <c r="K36" i="2"/>
  <c r="M36" i="2"/>
  <c r="M31" i="2"/>
  <c r="M108" i="2"/>
  <c r="M116" i="2" s="1"/>
  <c r="L108" i="2"/>
  <c r="L116" i="2" s="1"/>
  <c r="D16" i="15" l="1"/>
  <c r="D20" i="15" s="1"/>
  <c r="D21" i="15" s="1"/>
  <c r="D32" i="15"/>
  <c r="E15" i="15"/>
  <c r="E16" i="15" s="1"/>
  <c r="Y29" i="2"/>
  <c r="Z162" i="2"/>
  <c r="AA160" i="2"/>
  <c r="AA162" i="2" s="1"/>
  <c r="AB23" i="2" s="1"/>
  <c r="Y81" i="2"/>
  <c r="Y100" i="2"/>
  <c r="Z100" i="2"/>
  <c r="Z81" i="2"/>
  <c r="AB9" i="2"/>
  <c r="AA11" i="2"/>
  <c r="Z21" i="2"/>
  <c r="AA19" i="2"/>
  <c r="AA21" i="2" s="1"/>
  <c r="AA59" i="3"/>
  <c r="Z28" i="2"/>
  <c r="AA13" i="2"/>
  <c r="AA16" i="2" s="1"/>
  <c r="L218" i="2"/>
  <c r="AB85" i="2"/>
  <c r="AC85" i="2" s="1"/>
  <c r="R206" i="2"/>
  <c r="M238" i="2"/>
  <c r="Y51" i="3" s="1"/>
  <c r="AJ202" i="2"/>
  <c r="AJ201" i="2"/>
  <c r="AJ222" i="2"/>
  <c r="AJ219" i="2"/>
  <c r="AJ223" i="2"/>
  <c r="AJ217" i="2"/>
  <c r="AJ216" i="2"/>
  <c r="AJ186" i="2"/>
  <c r="AG196" i="2"/>
  <c r="AH196" i="2" s="1"/>
  <c r="AB153" i="2"/>
  <c r="R210" i="2"/>
  <c r="AB210" i="2" s="1"/>
  <c r="T210" i="2" s="1"/>
  <c r="AA184" i="2"/>
  <c r="AA191" i="2"/>
  <c r="Z29" i="2"/>
  <c r="K238" i="2"/>
  <c r="W51" i="3" s="1"/>
  <c r="AA51" i="3" s="1"/>
  <c r="G238" i="2"/>
  <c r="I238" i="2"/>
  <c r="L238" i="2"/>
  <c r="X51" i="3" s="1"/>
  <c r="Y102" i="2"/>
  <c r="Y226" i="2"/>
  <c r="R211" i="2"/>
  <c r="T211" i="2"/>
  <c r="R44" i="2"/>
  <c r="C44" i="2"/>
  <c r="C246" i="2" s="1"/>
  <c r="C247" i="2"/>
  <c r="G218" i="2"/>
  <c r="D206" i="2"/>
  <c r="I206" i="2"/>
  <c r="K40" i="2"/>
  <c r="K239" i="2"/>
  <c r="J218" i="2"/>
  <c r="H218" i="2"/>
  <c r="E40" i="2"/>
  <c r="E239" i="2"/>
  <c r="D40" i="2"/>
  <c r="D239" i="2"/>
  <c r="G239" i="2"/>
  <c r="L40" i="2"/>
  <c r="L239" i="2"/>
  <c r="H40" i="2"/>
  <c r="H239" i="2"/>
  <c r="F40" i="2"/>
  <c r="F239" i="2"/>
  <c r="I40" i="2"/>
  <c r="I239" i="2"/>
  <c r="F218" i="2"/>
  <c r="M40" i="2"/>
  <c r="M239" i="2"/>
  <c r="J40" i="2"/>
  <c r="J239" i="2"/>
  <c r="E218" i="2"/>
  <c r="J206" i="2"/>
  <c r="D218" i="2"/>
  <c r="AG99" i="2"/>
  <c r="AH99" i="2" s="1"/>
  <c r="AH88" i="2"/>
  <c r="AH124" i="2"/>
  <c r="G206" i="2"/>
  <c r="K206" i="2"/>
  <c r="M206" i="2"/>
  <c r="H206" i="2"/>
  <c r="Z156" i="2"/>
  <c r="AF222" i="2"/>
  <c r="AB161" i="2"/>
  <c r="AA156" i="2"/>
  <c r="AB24" i="2" s="1"/>
  <c r="AB26" i="2" s="1"/>
  <c r="AB58" i="2" s="1"/>
  <c r="AA197" i="2"/>
  <c r="Z16" i="2"/>
  <c r="F206" i="2"/>
  <c r="AF192" i="2"/>
  <c r="E206" i="2"/>
  <c r="L206" i="2"/>
  <c r="AG191" i="2"/>
  <c r="I218" i="2"/>
  <c r="K218" i="2"/>
  <c r="M218" i="2"/>
  <c r="Q57" i="2"/>
  <c r="Q61" i="2" s="1"/>
  <c r="Y60" i="2" l="1"/>
  <c r="AA192" i="2"/>
  <c r="Y31" i="2"/>
  <c r="Y34" i="2"/>
  <c r="Y36" i="2" s="1"/>
  <c r="AB19" i="2"/>
  <c r="AB21" i="2" s="1"/>
  <c r="AB11" i="2"/>
  <c r="AC9" i="2"/>
  <c r="Z34" i="2"/>
  <c r="AA34" i="2" s="1"/>
  <c r="AA29" i="2"/>
  <c r="Z33" i="2"/>
  <c r="AA28" i="2"/>
  <c r="Z26" i="2"/>
  <c r="Z58" i="2" s="1"/>
  <c r="AA58" i="2" s="1"/>
  <c r="F15" i="15"/>
  <c r="AA188" i="2"/>
  <c r="D211" i="2"/>
  <c r="I44" i="2"/>
  <c r="AB67" i="3" s="1"/>
  <c r="H210" i="2"/>
  <c r="K210" i="2"/>
  <c r="J211" i="2"/>
  <c r="J247" i="2" s="1"/>
  <c r="AB154" i="2"/>
  <c r="AA202" i="2"/>
  <c r="AF68" i="2"/>
  <c r="AF70" i="2" s="1"/>
  <c r="Y210" i="2"/>
  <c r="Z210" i="2" s="1"/>
  <c r="AA210" i="2" s="1"/>
  <c r="AC210" i="2"/>
  <c r="AD210" i="2" s="1"/>
  <c r="AE210" i="2" s="1"/>
  <c r="AF210" i="2" s="1"/>
  <c r="AG210" i="2" s="1"/>
  <c r="AH210" i="2" s="1"/>
  <c r="R57" i="2"/>
  <c r="R61" i="2" s="1"/>
  <c r="R72" i="2" s="1"/>
  <c r="R75" i="2" s="1"/>
  <c r="S73" i="2" s="1"/>
  <c r="S75" i="2" s="1"/>
  <c r="T73" i="2" s="1"/>
  <c r="Y165" i="2"/>
  <c r="Z165" i="2"/>
  <c r="AJ218" i="2"/>
  <c r="AD85" i="2"/>
  <c r="AE85" i="2" s="1"/>
  <c r="AJ206" i="2"/>
  <c r="M44" i="2"/>
  <c r="F211" i="2"/>
  <c r="L210" i="2"/>
  <c r="E44" i="2"/>
  <c r="E246" i="2" s="1"/>
  <c r="J210" i="2"/>
  <c r="I211" i="2"/>
  <c r="H44" i="2"/>
  <c r="G210" i="2"/>
  <c r="K211" i="2"/>
  <c r="R247" i="2"/>
  <c r="Z31" i="2"/>
  <c r="AA226" i="2"/>
  <c r="AA186" i="2"/>
  <c r="R213" i="2"/>
  <c r="R246" i="2"/>
  <c r="J44" i="2"/>
  <c r="R243" i="2"/>
  <c r="Z35" i="3" s="1"/>
  <c r="L211" i="2"/>
  <c r="H211" i="2"/>
  <c r="E211" i="2"/>
  <c r="E210" i="2"/>
  <c r="C57" i="2"/>
  <c r="C61" i="2" s="1"/>
  <c r="C72" i="2" s="1"/>
  <c r="C75" i="2" s="1"/>
  <c r="D73" i="2" s="1"/>
  <c r="G211" i="2"/>
  <c r="D44" i="2"/>
  <c r="M211" i="2"/>
  <c r="L44" i="2"/>
  <c r="D210" i="2"/>
  <c r="Z60" i="2"/>
  <c r="AA60" i="2" s="1"/>
  <c r="AA81" i="2"/>
  <c r="M210" i="2"/>
  <c r="F44" i="2"/>
  <c r="K44" i="2"/>
  <c r="AA100" i="2"/>
  <c r="AA102" i="2" s="1"/>
  <c r="Z102" i="2"/>
  <c r="F210" i="2"/>
  <c r="I210" i="2"/>
  <c r="AG222" i="2"/>
  <c r="AC161" i="2"/>
  <c r="AH191" i="2"/>
  <c r="AC8" i="2"/>
  <c r="AG192" i="2"/>
  <c r="AC153" i="2"/>
  <c r="Q72" i="2"/>
  <c r="V67" i="3" l="1"/>
  <c r="D247" i="2"/>
  <c r="AJ211" i="2"/>
  <c r="G15" i="15"/>
  <c r="F16" i="15"/>
  <c r="F20" i="15" s="1"/>
  <c r="F21" i="15" s="1"/>
  <c r="Y67" i="3"/>
  <c r="Z67" i="3"/>
  <c r="AC19" i="2"/>
  <c r="AC29" i="2" s="1"/>
  <c r="AD9" i="2"/>
  <c r="K57" i="2"/>
  <c r="K61" i="2" s="1"/>
  <c r="K72" i="2" s="1"/>
  <c r="W67" i="3"/>
  <c r="E32" i="15"/>
  <c r="L57" i="2"/>
  <c r="L61" i="2" s="1"/>
  <c r="L72" i="2" s="1"/>
  <c r="X67" i="3"/>
  <c r="AA31" i="2"/>
  <c r="AB29" i="2"/>
  <c r="AB34" i="2" s="1"/>
  <c r="Z36" i="2"/>
  <c r="AA33" i="2"/>
  <c r="AA36" i="2" s="1"/>
  <c r="I243" i="2"/>
  <c r="I246" i="2"/>
  <c r="I57" i="2"/>
  <c r="I61" i="2" s="1"/>
  <c r="I72" i="2" s="1"/>
  <c r="I213" i="2"/>
  <c r="E20" i="15"/>
  <c r="E21" i="15" s="1"/>
  <c r="F32" i="15"/>
  <c r="E243" i="2"/>
  <c r="S80" i="2"/>
  <c r="S83" i="2" s="1"/>
  <c r="S96" i="2" s="1"/>
  <c r="AA196" i="2"/>
  <c r="R80" i="2"/>
  <c r="E213" i="2"/>
  <c r="E57" i="2"/>
  <c r="E61" i="2" s="1"/>
  <c r="E72" i="2" s="1"/>
  <c r="H246" i="2"/>
  <c r="H57" i="2"/>
  <c r="H61" i="2" s="1"/>
  <c r="H72" i="2" s="1"/>
  <c r="AJ210" i="2"/>
  <c r="H213" i="2"/>
  <c r="K247" i="2"/>
  <c r="M243" i="2"/>
  <c r="Y35" i="3" s="1"/>
  <c r="M246" i="2"/>
  <c r="AB156" i="2"/>
  <c r="AC24" i="2" s="1"/>
  <c r="M213" i="2"/>
  <c r="M57" i="2"/>
  <c r="M61" i="2" s="1"/>
  <c r="M72" i="2" s="1"/>
  <c r="H243" i="2"/>
  <c r="F247" i="2"/>
  <c r="E247" i="2"/>
  <c r="G57" i="2"/>
  <c r="G61" i="2" s="1"/>
  <c r="G72" i="2" s="1"/>
  <c r="I247" i="2"/>
  <c r="L213" i="2"/>
  <c r="F57" i="2"/>
  <c r="F61" i="2" s="1"/>
  <c r="F72" i="2" s="1"/>
  <c r="F246" i="2"/>
  <c r="D243" i="2"/>
  <c r="D246" i="2"/>
  <c r="G246" i="2"/>
  <c r="J246" i="2"/>
  <c r="AB226" i="2"/>
  <c r="AB186" i="2"/>
  <c r="L246" i="2"/>
  <c r="L243" i="2"/>
  <c r="X35" i="3" s="1"/>
  <c r="K213" i="2"/>
  <c r="K246" i="2"/>
  <c r="J243" i="2"/>
  <c r="V35" i="3" s="1"/>
  <c r="J213" i="2"/>
  <c r="G213" i="2"/>
  <c r="J57" i="2"/>
  <c r="J61" i="2" s="1"/>
  <c r="J72" i="2" s="1"/>
  <c r="G243" i="2"/>
  <c r="H247" i="2"/>
  <c r="F213" i="2"/>
  <c r="L247" i="2"/>
  <c r="C80" i="2"/>
  <c r="C83" i="2" s="1"/>
  <c r="C96" i="2" s="1"/>
  <c r="AG68" i="2"/>
  <c r="AG70" i="2" s="1"/>
  <c r="D213" i="2"/>
  <c r="M247" i="2"/>
  <c r="G247" i="2"/>
  <c r="D57" i="2"/>
  <c r="D61" i="2" s="1"/>
  <c r="D72" i="2" s="1"/>
  <c r="D75" i="2" s="1"/>
  <c r="D80" i="2" s="1"/>
  <c r="D83" i="2" s="1"/>
  <c r="D96" i="2" s="1"/>
  <c r="D118" i="2" s="1"/>
  <c r="AB28" i="2"/>
  <c r="K243" i="2"/>
  <c r="W35" i="3" s="1"/>
  <c r="AB100" i="2"/>
  <c r="AB102" i="2" s="1"/>
  <c r="AB81" i="2"/>
  <c r="F243" i="2"/>
  <c r="AF85" i="2"/>
  <c r="Z86" i="2"/>
  <c r="Y166" i="2"/>
  <c r="Y168" i="2" s="1"/>
  <c r="AH222" i="2"/>
  <c r="AD161" i="2"/>
  <c r="AD153" i="2"/>
  <c r="AH192" i="2"/>
  <c r="AC11" i="2"/>
  <c r="AD8" i="2"/>
  <c r="AC13" i="2"/>
  <c r="AC16" i="2" s="1"/>
  <c r="AC18" i="2"/>
  <c r="AA67" i="3" l="1"/>
  <c r="AC21" i="2"/>
  <c r="AA247" i="2"/>
  <c r="AA35" i="3"/>
  <c r="H15" i="15"/>
  <c r="H16" i="15" s="1"/>
  <c r="G16" i="15"/>
  <c r="G20" i="15" s="1"/>
  <c r="G21" i="15" s="1"/>
  <c r="AD19" i="2"/>
  <c r="AD29" i="2" s="1"/>
  <c r="AE9" i="2"/>
  <c r="G32" i="15"/>
  <c r="AB159" i="2"/>
  <c r="AB165" i="2" s="1"/>
  <c r="AC34" i="2"/>
  <c r="AC154" i="2"/>
  <c r="AA165" i="2"/>
  <c r="T44" i="2"/>
  <c r="T57" i="2" s="1"/>
  <c r="R83" i="2"/>
  <c r="R96" i="2" s="1"/>
  <c r="R118" i="2" s="1"/>
  <c r="AJ213" i="2"/>
  <c r="S118" i="2"/>
  <c r="AC226" i="2"/>
  <c r="AC186" i="2"/>
  <c r="AB31" i="2"/>
  <c r="AB60" i="2"/>
  <c r="AH68" i="2"/>
  <c r="AH70" i="2" s="1"/>
  <c r="E73" i="2"/>
  <c r="E75" i="2" s="1"/>
  <c r="C118" i="2"/>
  <c r="D242" i="2"/>
  <c r="AC100" i="2"/>
  <c r="AC102" i="2" s="1"/>
  <c r="AC81" i="2"/>
  <c r="AG85" i="2"/>
  <c r="AA86" i="2"/>
  <c r="Z166" i="2"/>
  <c r="Z168" i="2" s="1"/>
  <c r="Z87" i="2"/>
  <c r="Z90" i="2" s="1"/>
  <c r="AE161" i="2"/>
  <c r="AD13" i="2"/>
  <c r="AD16" i="2" s="1"/>
  <c r="AE8" i="2"/>
  <c r="AD11" i="2"/>
  <c r="AD18" i="2"/>
  <c r="AD21" i="2" s="1"/>
  <c r="AE153" i="2"/>
  <c r="AC28" i="2"/>
  <c r="E122" i="23" l="1"/>
  <c r="AE19" i="2"/>
  <c r="AE29" i="2" s="1"/>
  <c r="AF9" i="2"/>
  <c r="AC60" i="2"/>
  <c r="AC159" i="2"/>
  <c r="AD159" i="2" s="1"/>
  <c r="I15" i="15"/>
  <c r="I16" i="15" s="1"/>
  <c r="H20" i="15"/>
  <c r="H21" i="15" s="1"/>
  <c r="H32" i="15"/>
  <c r="AA201" i="2"/>
  <c r="AC156" i="2"/>
  <c r="AD24" i="2" s="1"/>
  <c r="AD34" i="2" s="1"/>
  <c r="T61" i="2"/>
  <c r="T229" i="2" s="1"/>
  <c r="AD226" i="2"/>
  <c r="AD186" i="2"/>
  <c r="E80" i="2"/>
  <c r="E83" i="2" s="1"/>
  <c r="E96" i="2" s="1"/>
  <c r="F73" i="2"/>
  <c r="F75" i="2" s="1"/>
  <c r="AD100" i="2"/>
  <c r="AD102" i="2" s="1"/>
  <c r="AD81" i="2"/>
  <c r="AA87" i="2"/>
  <c r="AA166" i="2"/>
  <c r="AA168" i="2" s="1"/>
  <c r="AH85" i="2"/>
  <c r="AF161" i="2"/>
  <c r="AD28" i="2"/>
  <c r="AF153" i="2"/>
  <c r="AC31" i="2"/>
  <c r="AE11" i="2"/>
  <c r="AF8" i="2"/>
  <c r="AE13" i="2"/>
  <c r="AE18" i="2"/>
  <c r="AE21" i="2" l="1"/>
  <c r="G12" i="23"/>
  <c r="AF19" i="2"/>
  <c r="AF29" i="2" s="1"/>
  <c r="AG9" i="2"/>
  <c r="T230" i="2"/>
  <c r="T231" i="2" s="1"/>
  <c r="AC165" i="2"/>
  <c r="J15" i="15"/>
  <c r="J16" i="15" s="1"/>
  <c r="I32" i="15"/>
  <c r="I20" i="15"/>
  <c r="I21" i="15" s="1"/>
  <c r="AD154" i="2"/>
  <c r="AD156" i="2" s="1"/>
  <c r="AE24" i="2" s="1"/>
  <c r="AE34" i="2" s="1"/>
  <c r="AB160" i="2"/>
  <c r="AB33" i="2"/>
  <c r="AB36" i="2" s="1"/>
  <c r="AB86" i="2"/>
  <c r="T66" i="2"/>
  <c r="T72" i="2" s="1"/>
  <c r="T75" i="2" s="1"/>
  <c r="X73" i="2" s="1"/>
  <c r="AA90" i="2"/>
  <c r="AE226" i="2"/>
  <c r="AE186" i="2"/>
  <c r="F80" i="2"/>
  <c r="F83" i="2" s="1"/>
  <c r="F96" i="2" s="1"/>
  <c r="G73" i="2"/>
  <c r="G75" i="2" s="1"/>
  <c r="E118" i="2"/>
  <c r="E242" i="2"/>
  <c r="AD60" i="2"/>
  <c r="AE100" i="2"/>
  <c r="AE102" i="2" s="1"/>
  <c r="AE81" i="2"/>
  <c r="AE159" i="2"/>
  <c r="AD165" i="2"/>
  <c r="AG161" i="2"/>
  <c r="AG8" i="2"/>
  <c r="AF13" i="2"/>
  <c r="AF16" i="2" s="1"/>
  <c r="AF11" i="2"/>
  <c r="AF18" i="2"/>
  <c r="AF21" i="2" s="1"/>
  <c r="AG153" i="2"/>
  <c r="AD31" i="2"/>
  <c r="AE28" i="2"/>
  <c r="AE16" i="2"/>
  <c r="G24" i="23" l="1"/>
  <c r="G94" i="23"/>
  <c r="H12" i="23"/>
  <c r="AG19" i="2"/>
  <c r="AG29" i="2" s="1"/>
  <c r="AH9" i="2"/>
  <c r="T80" i="2"/>
  <c r="K15" i="15"/>
  <c r="K16" i="15" s="1"/>
  <c r="J32" i="15"/>
  <c r="J20" i="15"/>
  <c r="J21" i="15" s="1"/>
  <c r="AE154" i="2"/>
  <c r="AE156" i="2" s="1"/>
  <c r="AF24" i="2" s="1"/>
  <c r="AF34" i="2" s="1"/>
  <c r="T114" i="2"/>
  <c r="AB166" i="2"/>
  <c r="AB168" i="2" s="1"/>
  <c r="AB162" i="2"/>
  <c r="AC23" i="2" s="1"/>
  <c r="AC160" i="2" s="1"/>
  <c r="AB87" i="2"/>
  <c r="Y122" i="2"/>
  <c r="Y127" i="2" s="1"/>
  <c r="F242" i="2"/>
  <c r="AF226" i="2"/>
  <c r="AF186" i="2"/>
  <c r="G80" i="2"/>
  <c r="G83" i="2" s="1"/>
  <c r="G96" i="2" s="1"/>
  <c r="H73" i="2"/>
  <c r="H75" i="2" s="1"/>
  <c r="F118" i="2"/>
  <c r="AE60" i="2"/>
  <c r="AF100" i="2"/>
  <c r="AF102" i="2" s="1"/>
  <c r="AF81" i="2"/>
  <c r="AF159" i="2"/>
  <c r="AE165" i="2"/>
  <c r="AH161" i="2"/>
  <c r="AF28" i="2"/>
  <c r="AH153" i="2"/>
  <c r="AE31" i="2"/>
  <c r="AG11" i="2"/>
  <c r="AH8" i="2"/>
  <c r="AG13" i="2"/>
  <c r="AG16" i="2" s="1"/>
  <c r="AG18" i="2"/>
  <c r="H24" i="23" l="1"/>
  <c r="H94" i="23"/>
  <c r="AG21" i="2"/>
  <c r="Y38" i="2"/>
  <c r="Y40" i="2" s="1"/>
  <c r="I12" i="23"/>
  <c r="AH19" i="2"/>
  <c r="AH29" i="2" s="1"/>
  <c r="T83" i="2"/>
  <c r="T96" i="2" s="1"/>
  <c r="L15" i="15"/>
  <c r="L16" i="15" s="1"/>
  <c r="K20" i="15"/>
  <c r="K21" i="15" s="1"/>
  <c r="K32" i="15"/>
  <c r="AF154" i="2"/>
  <c r="AF156" i="2" s="1"/>
  <c r="AG24" i="2" s="1"/>
  <c r="AG34" i="2" s="1"/>
  <c r="AC162" i="2"/>
  <c r="AD23" i="2" s="1"/>
  <c r="AD160" i="2" s="1"/>
  <c r="AC33" i="2"/>
  <c r="AC36" i="2" s="1"/>
  <c r="AC26" i="2"/>
  <c r="T108" i="2"/>
  <c r="T116" i="2" s="1"/>
  <c r="AG226" i="2"/>
  <c r="AG186" i="2"/>
  <c r="G118" i="2"/>
  <c r="G242" i="2"/>
  <c r="I73" i="2"/>
  <c r="I75" i="2" s="1"/>
  <c r="H80" i="2"/>
  <c r="H83" i="2" s="1"/>
  <c r="H96" i="2" s="1"/>
  <c r="AG100" i="2"/>
  <c r="AG102" i="2" s="1"/>
  <c r="AG81" i="2"/>
  <c r="AG28" i="2"/>
  <c r="AG31" i="2" s="1"/>
  <c r="AF60" i="2"/>
  <c r="AG159" i="2"/>
  <c r="AF165" i="2"/>
  <c r="AF31" i="2"/>
  <c r="AH11" i="2"/>
  <c r="AH186" i="2" s="1"/>
  <c r="AI186" i="2" s="1"/>
  <c r="AH13" i="2"/>
  <c r="AH16" i="2" s="1"/>
  <c r="AH18" i="2"/>
  <c r="AH21" i="2" s="1"/>
  <c r="I24" i="23" l="1"/>
  <c r="I94" i="23"/>
  <c r="Y44" i="2"/>
  <c r="Y138" i="2"/>
  <c r="Y148" i="2" s="1"/>
  <c r="Y211" i="2" s="1"/>
  <c r="J12" i="23"/>
  <c r="T118" i="2"/>
  <c r="T98" i="2"/>
  <c r="C8" i="15"/>
  <c r="M15" i="15"/>
  <c r="M16" i="15" s="1"/>
  <c r="L32" i="15"/>
  <c r="L20" i="15"/>
  <c r="L21" i="15" s="1"/>
  <c r="AG154" i="2"/>
  <c r="AG156" i="2" s="1"/>
  <c r="AH24" i="2" s="1"/>
  <c r="AH34" i="2" s="1"/>
  <c r="AD162" i="2"/>
  <c r="AE23" i="2" s="1"/>
  <c r="AC58" i="2"/>
  <c r="AC86" i="2"/>
  <c r="AD26" i="2"/>
  <c r="AD33" i="2"/>
  <c r="AD36" i="2" s="1"/>
  <c r="AH226" i="2"/>
  <c r="H118" i="2"/>
  <c r="H242" i="2"/>
  <c r="J73" i="2"/>
  <c r="J75" i="2" s="1"/>
  <c r="I80" i="2"/>
  <c r="I83" i="2" s="1"/>
  <c r="I96" i="2" s="1"/>
  <c r="AG60" i="2"/>
  <c r="AH100" i="2"/>
  <c r="AH102" i="2" s="1"/>
  <c r="AH81" i="2"/>
  <c r="AH159" i="2"/>
  <c r="AG165" i="2"/>
  <c r="AH28" i="2"/>
  <c r="J24" i="23" l="1"/>
  <c r="J94" i="23"/>
  <c r="K12" i="23"/>
  <c r="Y47" i="2"/>
  <c r="Y50" i="2"/>
  <c r="Y57" i="2"/>
  <c r="Y61" i="2" s="1"/>
  <c r="N15" i="15"/>
  <c r="N16" i="15" s="1"/>
  <c r="M32" i="15"/>
  <c r="M20" i="15"/>
  <c r="M21" i="15" s="1"/>
  <c r="AH154" i="2"/>
  <c r="AH156" i="2" s="1"/>
  <c r="AD86" i="2"/>
  <c r="AC87" i="2"/>
  <c r="AC166" i="2"/>
  <c r="AC168" i="2" s="1"/>
  <c r="AE26" i="2"/>
  <c r="AE33" i="2"/>
  <c r="AE36" i="2" s="1"/>
  <c r="AD58" i="2"/>
  <c r="AE160" i="2"/>
  <c r="I242" i="2"/>
  <c r="I118" i="2"/>
  <c r="J80" i="2"/>
  <c r="J83" i="2" s="1"/>
  <c r="J96" i="2" s="1"/>
  <c r="K73" i="2"/>
  <c r="K75" i="2" s="1"/>
  <c r="AH60" i="2"/>
  <c r="AH165" i="2"/>
  <c r="AH31" i="2"/>
  <c r="L12" i="23" l="1"/>
  <c r="K24" i="23"/>
  <c r="K94" i="23"/>
  <c r="Y64" i="2"/>
  <c r="Y229" i="2" s="1"/>
  <c r="Y230" i="2" s="1"/>
  <c r="Y231" i="2" s="1"/>
  <c r="Y48" i="2"/>
  <c r="O15" i="15"/>
  <c r="O16" i="15" s="1"/>
  <c r="N32" i="15"/>
  <c r="N20" i="15"/>
  <c r="N21" i="15" s="1"/>
  <c r="AE162" i="2"/>
  <c r="AF23" i="2" s="1"/>
  <c r="AE58" i="2"/>
  <c r="AD166" i="2"/>
  <c r="AD168" i="2" s="1"/>
  <c r="AE86" i="2"/>
  <c r="AD87" i="2"/>
  <c r="L73" i="2"/>
  <c r="L75" i="2" s="1"/>
  <c r="M73" i="2" s="1"/>
  <c r="K80" i="2"/>
  <c r="K83" i="2" s="1"/>
  <c r="K96" i="2" s="1"/>
  <c r="J118" i="2"/>
  <c r="J242" i="2"/>
  <c r="V43" i="3" s="1"/>
  <c r="L94" i="23" l="1"/>
  <c r="L24" i="23"/>
  <c r="P15" i="15"/>
  <c r="P16" i="15" s="1"/>
  <c r="O32" i="15"/>
  <c r="O20" i="15"/>
  <c r="O21" i="15" s="1"/>
  <c r="AE87" i="2"/>
  <c r="AE166" i="2"/>
  <c r="AE168" i="2" s="1"/>
  <c r="AF26" i="2"/>
  <c r="AF86" i="2" s="1"/>
  <c r="AF33" i="2"/>
  <c r="AF36" i="2" s="1"/>
  <c r="AF160" i="2"/>
  <c r="K242" i="2"/>
  <c r="W43" i="3" s="1"/>
  <c r="K118" i="2"/>
  <c r="L80" i="2"/>
  <c r="L83" i="2" s="1"/>
  <c r="L96" i="2" s="1"/>
  <c r="M75" i="2"/>
  <c r="Q15" i="15" l="1"/>
  <c r="Q16" i="15" s="1"/>
  <c r="P32" i="15"/>
  <c r="P20" i="15"/>
  <c r="P21" i="15" s="1"/>
  <c r="AF87" i="2"/>
  <c r="AF166" i="2"/>
  <c r="AF168" i="2" s="1"/>
  <c r="AF58" i="2"/>
  <c r="AF162" i="2"/>
  <c r="AG23" i="2" s="1"/>
  <c r="L118" i="2"/>
  <c r="L242" i="2"/>
  <c r="X43" i="3" s="1"/>
  <c r="N73" i="2"/>
  <c r="N75" i="2" s="1"/>
  <c r="M80" i="2"/>
  <c r="M83" i="2" s="1"/>
  <c r="M96" i="2" s="1"/>
  <c r="R15" i="15" l="1"/>
  <c r="R16" i="15" s="1"/>
  <c r="Q20" i="15"/>
  <c r="Q21" i="15" s="1"/>
  <c r="Q32" i="15"/>
  <c r="AG26" i="2"/>
  <c r="AG33" i="2"/>
  <c r="AG36" i="2" s="1"/>
  <c r="AG160" i="2"/>
  <c r="M118" i="2"/>
  <c r="R242" i="2"/>
  <c r="Z43" i="3" s="1"/>
  <c r="M242" i="2"/>
  <c r="Y43" i="3" s="1"/>
  <c r="N80" i="2"/>
  <c r="N83" i="2" s="1"/>
  <c r="N96" i="2" s="1"/>
  <c r="N118" i="2" s="1"/>
  <c r="O73" i="2"/>
  <c r="O75" i="2" s="1"/>
  <c r="AA43" i="3" l="1"/>
  <c r="S15" i="15"/>
  <c r="S16" i="15" s="1"/>
  <c r="R20" i="15"/>
  <c r="R21" i="15" s="1"/>
  <c r="R32" i="15"/>
  <c r="AG162" i="2"/>
  <c r="AH23" i="2" s="1"/>
  <c r="AH160" i="2" s="1"/>
  <c r="AH162" i="2" s="1"/>
  <c r="AG58" i="2"/>
  <c r="AG86" i="2"/>
  <c r="P73" i="2"/>
  <c r="P75" i="2" s="1"/>
  <c r="O80" i="2"/>
  <c r="O83" i="2" s="1"/>
  <c r="O96" i="2" s="1"/>
  <c r="O118" i="2" s="1"/>
  <c r="T15" i="15" l="1"/>
  <c r="T16" i="15" s="1"/>
  <c r="S32" i="15"/>
  <c r="S20" i="15"/>
  <c r="S21" i="15" s="1"/>
  <c r="AG87" i="2"/>
  <c r="AG166" i="2"/>
  <c r="AG168" i="2" s="1"/>
  <c r="AH33" i="2"/>
  <c r="AH36" i="2" s="1"/>
  <c r="AH26" i="2"/>
  <c r="P80" i="2"/>
  <c r="P83" i="2" s="1"/>
  <c r="P96" i="2" s="1"/>
  <c r="P118" i="2" s="1"/>
  <c r="Q73" i="2"/>
  <c r="Q75" i="2" s="1"/>
  <c r="Q80" i="2" s="1"/>
  <c r="Q83" i="2" s="1"/>
  <c r="Q96" i="2" s="1"/>
  <c r="Q118" i="2" s="1"/>
  <c r="U15" i="15" l="1"/>
  <c r="U16" i="15" s="1"/>
  <c r="T20" i="15"/>
  <c r="T21" i="15" s="1"/>
  <c r="T32" i="15"/>
  <c r="AH58" i="2"/>
  <c r="AH86" i="2"/>
  <c r="V15" i="15" l="1"/>
  <c r="V16" i="15" s="1"/>
  <c r="U32" i="15"/>
  <c r="U20" i="15"/>
  <c r="U21" i="15" s="1"/>
  <c r="AH87" i="2"/>
  <c r="AH166" i="2"/>
  <c r="AH168" i="2" s="1"/>
  <c r="W15" i="15" l="1"/>
  <c r="W16" i="15" s="1"/>
  <c r="V32" i="15"/>
  <c r="V20" i="15"/>
  <c r="V21" i="15" s="1"/>
  <c r="X15" i="15" l="1"/>
  <c r="X16" i="15" s="1"/>
  <c r="W32" i="15"/>
  <c r="W20" i="15"/>
  <c r="W21" i="15" s="1"/>
  <c r="Y15" i="15" l="1"/>
  <c r="Y16" i="15" s="1"/>
  <c r="X20" i="15"/>
  <c r="X21" i="15" s="1"/>
  <c r="X32" i="15"/>
  <c r="Z15" i="15" l="1"/>
  <c r="Z16" i="15" s="1"/>
  <c r="Y20" i="15"/>
  <c r="Y21" i="15" s="1"/>
  <c r="Y32" i="15"/>
  <c r="AA15" i="15" l="1"/>
  <c r="AA16" i="15" s="1"/>
  <c r="Z32" i="15"/>
  <c r="Z20" i="15"/>
  <c r="Z21" i="15" s="1"/>
  <c r="AB15" i="15" l="1"/>
  <c r="AB16" i="15" s="1"/>
  <c r="AA32" i="15"/>
  <c r="AA20" i="15"/>
  <c r="AA21" i="15" s="1"/>
  <c r="AC15" i="15" l="1"/>
  <c r="AC16" i="15" s="1"/>
  <c r="AB32" i="15"/>
  <c r="AB20" i="15"/>
  <c r="AB21" i="15" s="1"/>
  <c r="AD15" i="15" l="1"/>
  <c r="AD16" i="15" s="1"/>
  <c r="AC20" i="15"/>
  <c r="AC21" i="15" s="1"/>
  <c r="AC32" i="15"/>
  <c r="AE15" i="15" l="1"/>
  <c r="AE16" i="15" s="1"/>
  <c r="AD20" i="15"/>
  <c r="AD21" i="15" s="1"/>
  <c r="AD32" i="15"/>
  <c r="AA106" i="2"/>
  <c r="AB106" i="2" s="1"/>
  <c r="AC106" i="2" s="1"/>
  <c r="AD106" i="2" s="1"/>
  <c r="AE106" i="2" s="1"/>
  <c r="AF106" i="2" s="1"/>
  <c r="AG106" i="2" s="1"/>
  <c r="AH106" i="2" s="1"/>
  <c r="AF15" i="15" l="1"/>
  <c r="AF16" i="15" s="1"/>
  <c r="AE32" i="15"/>
  <c r="AE20" i="15"/>
  <c r="AE21" i="15" s="1"/>
  <c r="AA113" i="2"/>
  <c r="AB113" i="2" s="1"/>
  <c r="AC113" i="2" s="1"/>
  <c r="AD113" i="2" s="1"/>
  <c r="AE113" i="2" s="1"/>
  <c r="AF113" i="2" s="1"/>
  <c r="AG113" i="2" s="1"/>
  <c r="AH113" i="2" s="1"/>
  <c r="AG15" i="15" l="1"/>
  <c r="AG16" i="15" s="1"/>
  <c r="AF32" i="15"/>
  <c r="AF20" i="15"/>
  <c r="AF21" i="15" s="1"/>
  <c r="AH15" i="15" l="1"/>
  <c r="AH16" i="15" s="1"/>
  <c r="AG32" i="15"/>
  <c r="AG20" i="15"/>
  <c r="AG21" i="15" s="1"/>
  <c r="AB90" i="2"/>
  <c r="AI15" i="15" l="1"/>
  <c r="AI16" i="15" s="1"/>
  <c r="AH32" i="15"/>
  <c r="AH20" i="15"/>
  <c r="AH21" i="15" s="1"/>
  <c r="AJ15" i="15" l="1"/>
  <c r="AJ16" i="15" s="1"/>
  <c r="AI32" i="15"/>
  <c r="AI20" i="15"/>
  <c r="AI21" i="15" s="1"/>
  <c r="AK15" i="15" l="1"/>
  <c r="AK16" i="15" s="1"/>
  <c r="AJ32" i="15"/>
  <c r="AJ20" i="15"/>
  <c r="AJ21" i="15" s="1"/>
  <c r="AL15" i="15" l="1"/>
  <c r="AL16" i="15" s="1"/>
  <c r="AK32" i="15"/>
  <c r="AK20" i="15"/>
  <c r="AK21" i="15" s="1"/>
  <c r="AL32" i="15" l="1"/>
  <c r="AL20" i="15"/>
  <c r="AL21" i="15" s="1"/>
  <c r="AC90" i="2" l="1"/>
  <c r="AD90" i="2" l="1"/>
  <c r="AE90" i="2" l="1"/>
  <c r="AF90" i="2" l="1"/>
  <c r="AG90" i="2" l="1"/>
  <c r="AH90" i="2" l="1"/>
  <c r="Y63" i="2" l="1"/>
  <c r="Y66" i="2" l="1"/>
  <c r="Y72" i="2" s="1"/>
  <c r="Y104" i="2"/>
  <c r="Y108" i="2" s="1"/>
  <c r="Y205" i="2" l="1"/>
  <c r="Z122" i="2" s="1"/>
  <c r="Z127" i="2" s="1"/>
  <c r="Z38" i="2" s="1"/>
  <c r="AA38" i="2" s="1"/>
  <c r="AA40" i="2" s="1"/>
  <c r="C19" i="23" s="1"/>
  <c r="C68" i="23" l="1"/>
  <c r="C54" i="23"/>
  <c r="AA131" i="2"/>
  <c r="C18" i="23" s="1"/>
  <c r="Z40" i="2"/>
  <c r="Z44" i="2" s="1"/>
  <c r="Z50" i="2" s="1"/>
  <c r="AA50" i="2" s="1"/>
  <c r="AA239" i="2" l="1"/>
  <c r="Z138" i="2"/>
  <c r="Z148" i="2" s="1"/>
  <c r="Z211" i="2" s="1"/>
  <c r="Z47" i="2" l="1"/>
  <c r="Z57" i="2"/>
  <c r="Z61" i="2" s="1"/>
  <c r="Z64" i="2" l="1"/>
  <c r="AA64" i="2" s="1"/>
  <c r="Z48" i="2"/>
  <c r="Z229" i="2" l="1"/>
  <c r="Z230" i="2" s="1"/>
  <c r="Z231" i="2" s="1"/>
  <c r="Z63" i="2" s="1"/>
  <c r="AA63" i="2" s="1"/>
  <c r="AA66" i="2" s="1"/>
  <c r="AA48" i="2"/>
  <c r="Z66" i="2" l="1"/>
  <c r="Z72" i="2" s="1"/>
  <c r="Z104" i="2"/>
  <c r="Z205" i="2" l="1"/>
  <c r="Z108" i="2"/>
  <c r="AA104" i="2"/>
  <c r="AA108" i="2" l="1"/>
  <c r="AA205" i="2"/>
  <c r="F12" i="3" l="1"/>
  <c r="AB122" i="2"/>
  <c r="AB127" i="2" s="1"/>
  <c r="AB38" i="2" s="1"/>
  <c r="AA206" i="2"/>
  <c r="F15" i="3" l="1"/>
  <c r="G12" i="3"/>
  <c r="H12" i="3" s="1"/>
  <c r="I12" i="3" s="1"/>
  <c r="AB239" i="2"/>
  <c r="AB40" i="2"/>
  <c r="D19" i="23" s="1"/>
  <c r="D54" i="23" s="1"/>
  <c r="J12" i="3" l="1"/>
  <c r="I15" i="3"/>
  <c r="AB131" i="2"/>
  <c r="D68" i="23"/>
  <c r="AB138" i="2"/>
  <c r="AB148" i="2" s="1"/>
  <c r="AB211" i="2" s="1"/>
  <c r="AB247" i="2" s="1"/>
  <c r="C57" i="23" l="1"/>
  <c r="D57" i="23"/>
  <c r="E57" i="23" l="1"/>
  <c r="C59" i="23"/>
  <c r="D59" i="23" s="1"/>
  <c r="F57" i="23" l="1"/>
  <c r="E59" i="23"/>
  <c r="G57" i="23"/>
  <c r="X49" i="23"/>
  <c r="Y49" i="23" l="1"/>
  <c r="F59" i="23"/>
  <c r="G59" i="23" s="1"/>
  <c r="H59" i="23" s="1"/>
  <c r="I59" i="23" s="1"/>
  <c r="J59" i="23" s="1"/>
  <c r="K59" i="23" s="1"/>
  <c r="L59" i="23" s="1"/>
  <c r="Z49" i="23" l="1"/>
  <c r="AC49" i="23" s="1"/>
  <c r="AA49" i="23"/>
  <c r="E13" i="15" l="1"/>
  <c r="F13" i="15" l="1"/>
  <c r="G13" i="15" s="1"/>
  <c r="H13" i="15" l="1"/>
  <c r="I13" i="15" l="1"/>
  <c r="J13" i="15" l="1"/>
  <c r="K13" i="15" l="1"/>
  <c r="L13" i="15" l="1"/>
  <c r="M13" i="15" l="1"/>
  <c r="N13" i="15" s="1"/>
  <c r="O13" i="15" l="1"/>
  <c r="P13" i="15" l="1"/>
  <c r="Q13" i="15" s="1"/>
  <c r="R13" i="15" l="1"/>
  <c r="S13" i="15" l="1"/>
  <c r="T13" i="15" l="1"/>
  <c r="U13" i="15" l="1"/>
  <c r="V13" i="15" l="1"/>
  <c r="W13" i="15" l="1"/>
  <c r="X13" i="15" l="1"/>
  <c r="Y13" i="15" l="1"/>
  <c r="Z13" i="15" l="1"/>
  <c r="AA13" i="15" l="1"/>
  <c r="AB13" i="15" l="1"/>
  <c r="AC13" i="15" l="1"/>
  <c r="AD13" i="15" l="1"/>
  <c r="AE13" i="15" l="1"/>
  <c r="AF13" i="15" l="1"/>
  <c r="AG13" i="15" l="1"/>
  <c r="AH13" i="15" l="1"/>
  <c r="AI13" i="15" l="1"/>
  <c r="AJ13" i="15" l="1"/>
  <c r="AK13" i="15" l="1"/>
  <c r="AL13" i="15" l="1"/>
  <c r="C32" i="3"/>
  <c r="C7" i="15"/>
  <c r="C9" i="15" l="1"/>
  <c r="C23" i="15" s="1"/>
  <c r="D19" i="15" s="1"/>
  <c r="D46" i="15" s="1"/>
  <c r="D47" i="15" l="1"/>
  <c r="D26" i="15"/>
  <c r="C38" i="23"/>
  <c r="G15" i="3"/>
  <c r="O46" i="23" l="1"/>
  <c r="D50" i="15"/>
  <c r="D52" i="15" s="1"/>
  <c r="D48" i="15"/>
  <c r="H15" i="3"/>
  <c r="D38" i="23"/>
  <c r="P46" i="23" l="1"/>
  <c r="J15" i="3"/>
  <c r="W46" i="23"/>
  <c r="D22" i="15"/>
  <c r="D23" i="15" s="1"/>
  <c r="E38" i="23"/>
  <c r="W52" i="23" l="1"/>
  <c r="Q46" i="23"/>
  <c r="F34" i="3"/>
  <c r="C25" i="24" s="1"/>
  <c r="F38" i="23"/>
  <c r="X46" i="23"/>
  <c r="X52" i="23" s="1"/>
  <c r="D27" i="15"/>
  <c r="D29" i="15" s="1"/>
  <c r="D33" i="15"/>
  <c r="D35" i="15" s="1"/>
  <c r="D37" i="15" s="1"/>
  <c r="E19" i="15"/>
  <c r="G38" i="23"/>
  <c r="AB42" i="2" l="1"/>
  <c r="D41" i="15"/>
  <c r="D42" i="15" s="1"/>
  <c r="S46" i="23"/>
  <c r="S49" i="23" s="1"/>
  <c r="S53" i="23" s="1"/>
  <c r="S58" i="23" s="1"/>
  <c r="R46" i="23"/>
  <c r="D30" i="15"/>
  <c r="E26" i="15"/>
  <c r="E46" i="15"/>
  <c r="D44" i="15"/>
  <c r="D38" i="15"/>
  <c r="AA132" i="2"/>
  <c r="Y46" i="23"/>
  <c r="C43" i="23" l="1"/>
  <c r="D18" i="23"/>
  <c r="Y52" i="23"/>
  <c r="E47" i="15"/>
  <c r="AA46" i="23"/>
  <c r="AA52" i="23" s="1"/>
  <c r="Z46" i="23"/>
  <c r="AC46" i="23" s="1"/>
  <c r="C77" i="23" l="1"/>
  <c r="Z52" i="23"/>
  <c r="AA53" i="23"/>
  <c r="AA54" i="23" s="1"/>
  <c r="AA56" i="23" s="1"/>
  <c r="E50" i="15"/>
  <c r="E52" i="15" s="1"/>
  <c r="E22" i="15" s="1"/>
  <c r="E48" i="15"/>
  <c r="AA58" i="23" l="1"/>
  <c r="G50" i="23" s="1"/>
  <c r="G69" i="23" s="1"/>
  <c r="E27" i="15"/>
  <c r="E29" i="15" s="1"/>
  <c r="E33" i="15"/>
  <c r="E35" i="15" s="1"/>
  <c r="E37" i="15" s="1"/>
  <c r="AC42" i="2" s="1"/>
  <c r="E23" i="15"/>
  <c r="F19" i="15" s="1"/>
  <c r="F26" i="15" l="1"/>
  <c r="F46" i="15"/>
  <c r="E44" i="15"/>
  <c r="E41" i="15"/>
  <c r="E42" i="15" s="1"/>
  <c r="E38" i="15"/>
  <c r="AB132" i="2"/>
  <c r="AB44" i="2" s="1"/>
  <c r="D112" i="23" s="1"/>
  <c r="E30" i="15"/>
  <c r="G21" i="3" l="1"/>
  <c r="D53" i="23"/>
  <c r="G74" i="23"/>
  <c r="D43" i="23"/>
  <c r="E18" i="23"/>
  <c r="AB47" i="2"/>
  <c r="AB50" i="2"/>
  <c r="AB57" i="2"/>
  <c r="AB61" i="2" s="1"/>
  <c r="F47" i="15"/>
  <c r="AB48" i="2" l="1"/>
  <c r="AB64" i="2"/>
  <c r="D111" i="23" s="1"/>
  <c r="F48" i="15"/>
  <c r="F50" i="15"/>
  <c r="F52" i="15" s="1"/>
  <c r="F22" i="15" s="1"/>
  <c r="G22" i="3" l="1"/>
  <c r="D44" i="23"/>
  <c r="D118" i="23" s="1"/>
  <c r="D113" i="23"/>
  <c r="D114" i="23" s="1"/>
  <c r="D95" i="23" s="1"/>
  <c r="AB229" i="2"/>
  <c r="AB230" i="2" s="1"/>
  <c r="AB231" i="2" s="1"/>
  <c r="AB63" i="2" s="1"/>
  <c r="F27" i="15"/>
  <c r="F29" i="15" s="1"/>
  <c r="F33" i="15"/>
  <c r="F35" i="15" s="1"/>
  <c r="F37" i="15" s="1"/>
  <c r="AD42" i="2" s="1"/>
  <c r="F23" i="15"/>
  <c r="G19" i="15" s="1"/>
  <c r="G46" i="15" s="1"/>
  <c r="D123" i="23" l="1"/>
  <c r="D124" i="23" s="1"/>
  <c r="D96" i="23"/>
  <c r="D75" i="23"/>
  <c r="AB66" i="2"/>
  <c r="AB72" i="2" s="1"/>
  <c r="AB104" i="2"/>
  <c r="AB246" i="2"/>
  <c r="AC132" i="2"/>
  <c r="F44" i="15"/>
  <c r="F41" i="15"/>
  <c r="F42" i="15" s="1"/>
  <c r="F38" i="15"/>
  <c r="F18" i="23" s="1"/>
  <c r="F30" i="15"/>
  <c r="G26" i="15"/>
  <c r="D119" i="23" l="1"/>
  <c r="AB108" i="2"/>
  <c r="AB205" i="2"/>
  <c r="G47" i="15"/>
  <c r="D91" i="23" l="1"/>
  <c r="D76" i="23"/>
  <c r="G50" i="15"/>
  <c r="G52" i="15" s="1"/>
  <c r="G22" i="15" s="1"/>
  <c r="G48" i="15"/>
  <c r="AC122" i="2"/>
  <c r="AC127" i="2" s="1"/>
  <c r="AC38" i="2" s="1"/>
  <c r="AC239" i="2" l="1"/>
  <c r="AC40" i="2"/>
  <c r="G27" i="15"/>
  <c r="G29" i="15" s="1"/>
  <c r="G33" i="15"/>
  <c r="G35" i="15" s="1"/>
  <c r="G37" i="15" s="1"/>
  <c r="AE42" i="2" s="1"/>
  <c r="G23" i="15"/>
  <c r="H19" i="15" s="1"/>
  <c r="AD132" i="2" l="1"/>
  <c r="G38" i="15"/>
  <c r="G18" i="23" s="1"/>
  <c r="G44" i="15"/>
  <c r="G41" i="15"/>
  <c r="G42" i="15" s="1"/>
  <c r="G30" i="15"/>
  <c r="AC131" i="2"/>
  <c r="E19" i="23"/>
  <c r="E54" i="23" s="1"/>
  <c r="E68" i="23" s="1"/>
  <c r="AC138" i="2"/>
  <c r="AC148" i="2" s="1"/>
  <c r="AC211" i="2" s="1"/>
  <c r="AC247" i="2" s="1"/>
  <c r="H26" i="15"/>
  <c r="H46" i="15"/>
  <c r="H47" i="15" l="1"/>
  <c r="AC44" i="2"/>
  <c r="E112" i="23" s="1"/>
  <c r="E43" i="23"/>
  <c r="E53" i="23" l="1"/>
  <c r="H21" i="3"/>
  <c r="AC47" i="2"/>
  <c r="AC50" i="2"/>
  <c r="AC57" i="2"/>
  <c r="AC61" i="2" s="1"/>
  <c r="H50" i="15"/>
  <c r="H48" i="15"/>
  <c r="H52" i="15" l="1"/>
  <c r="H22" i="15" s="1"/>
  <c r="AC64" i="2"/>
  <c r="E111" i="23" s="1"/>
  <c r="AC48" i="2"/>
  <c r="E113" i="23" l="1"/>
  <c r="E114" i="23" s="1"/>
  <c r="E95" i="23" s="1"/>
  <c r="H33" i="15"/>
  <c r="H35" i="15" s="1"/>
  <c r="H37" i="15" s="1"/>
  <c r="AF42" i="2" s="1"/>
  <c r="H23" i="15"/>
  <c r="I19" i="15" s="1"/>
  <c r="I26" i="15" s="1"/>
  <c r="H27" i="15"/>
  <c r="H29" i="15" s="1"/>
  <c r="H30" i="15" s="1"/>
  <c r="H22" i="3"/>
  <c r="AC229" i="2"/>
  <c r="AC230" i="2" s="1"/>
  <c r="AC231" i="2" s="1"/>
  <c r="AC63" i="2" s="1"/>
  <c r="E44" i="23"/>
  <c r="E118" i="23" s="1"/>
  <c r="E119" i="23" s="1"/>
  <c r="E96" i="23" l="1"/>
  <c r="E123" i="23"/>
  <c r="E124" i="23" s="1"/>
  <c r="H41" i="15"/>
  <c r="H42" i="15" s="1"/>
  <c r="AE132" i="2"/>
  <c r="H44" i="15"/>
  <c r="H38" i="15"/>
  <c r="H18" i="23" s="1"/>
  <c r="I46" i="15"/>
  <c r="I47" i="15" s="1"/>
  <c r="E75" i="23"/>
  <c r="AC66" i="2"/>
  <c r="AC72" i="2" s="1"/>
  <c r="AC104" i="2"/>
  <c r="AC246" i="2"/>
  <c r="I50" i="15" l="1"/>
  <c r="I52" i="15" s="1"/>
  <c r="I22" i="15" s="1"/>
  <c r="I48" i="15"/>
  <c r="AC108" i="2"/>
  <c r="AC205" i="2"/>
  <c r="E91" i="23" l="1"/>
  <c r="E76" i="23"/>
  <c r="AD122" i="2"/>
  <c r="AD127" i="2" s="1"/>
  <c r="AD38" i="2" s="1"/>
  <c r="I33" i="15"/>
  <c r="I35" i="15" s="1"/>
  <c r="I37" i="15" s="1"/>
  <c r="AG42" i="2" s="1"/>
  <c r="I27" i="15"/>
  <c r="I29" i="15" s="1"/>
  <c r="I23" i="15"/>
  <c r="J19" i="15" s="1"/>
  <c r="AD239" i="2" l="1"/>
  <c r="AD40" i="2"/>
  <c r="J26" i="15"/>
  <c r="J46" i="15"/>
  <c r="I30" i="15"/>
  <c r="I44" i="15"/>
  <c r="AF132" i="2"/>
  <c r="I41" i="15"/>
  <c r="I42" i="15" s="1"/>
  <c r="I38" i="15"/>
  <c r="I18" i="23" s="1"/>
  <c r="J47" i="15" l="1"/>
  <c r="AD131" i="2"/>
  <c r="F19" i="23"/>
  <c r="F54" i="23" s="1"/>
  <c r="F68" i="23" s="1"/>
  <c r="AD138" i="2"/>
  <c r="AD148" i="2" s="1"/>
  <c r="AD211" i="2" s="1"/>
  <c r="AD247" i="2" s="1"/>
  <c r="J48" i="15" l="1"/>
  <c r="J50" i="15"/>
  <c r="AD44" i="2"/>
  <c r="F43" i="23"/>
  <c r="F53" i="23" l="1"/>
  <c r="F112" i="23"/>
  <c r="J52" i="15"/>
  <c r="J22" i="15" s="1"/>
  <c r="AD47" i="2"/>
  <c r="I21" i="3"/>
  <c r="AD57" i="2"/>
  <c r="AD61" i="2" s="1"/>
  <c r="AD50" i="2"/>
  <c r="J23" i="15" l="1"/>
  <c r="K19" i="15" s="1"/>
  <c r="K26" i="15" s="1"/>
  <c r="J27" i="15"/>
  <c r="J29" i="15" s="1"/>
  <c r="J30" i="15" s="1"/>
  <c r="J33" i="15"/>
  <c r="J35" i="15" s="1"/>
  <c r="J37" i="15" s="1"/>
  <c r="AH42" i="2" s="1"/>
  <c r="AD48" i="2"/>
  <c r="AD64" i="2"/>
  <c r="F111" i="23" l="1"/>
  <c r="F113" i="23" s="1"/>
  <c r="F114" i="23" s="1"/>
  <c r="K46" i="15"/>
  <c r="K47" i="15" s="1"/>
  <c r="J44" i="15"/>
  <c r="J41" i="15"/>
  <c r="J42" i="15" s="1"/>
  <c r="AG132" i="2"/>
  <c r="J38" i="15"/>
  <c r="J18" i="23" s="1"/>
  <c r="I22" i="3"/>
  <c r="F44" i="23"/>
  <c r="F118" i="23" s="1"/>
  <c r="AD229" i="2"/>
  <c r="F95" i="23" l="1"/>
  <c r="F96" i="23" s="1"/>
  <c r="F75" i="23"/>
  <c r="F119" i="23"/>
  <c r="AD230" i="2"/>
  <c r="AD231" i="2" s="1"/>
  <c r="AD63" i="2" s="1"/>
  <c r="K48" i="15"/>
  <c r="K50" i="15"/>
  <c r="K52" i="15" s="1"/>
  <c r="K22" i="15" s="1"/>
  <c r="F123" i="23" l="1"/>
  <c r="F124" i="23" s="1"/>
  <c r="AD66" i="2"/>
  <c r="AD72" i="2" s="1"/>
  <c r="AD104" i="2"/>
  <c r="AD246" i="2"/>
  <c r="K27" i="15"/>
  <c r="K29" i="15" s="1"/>
  <c r="K33" i="15"/>
  <c r="K35" i="15" s="1"/>
  <c r="K37" i="15" s="1"/>
  <c r="K41" i="15" s="1"/>
  <c r="K23" i="15"/>
  <c r="L19" i="15" s="1"/>
  <c r="L46" i="15" s="1"/>
  <c r="L47" i="15" s="1"/>
  <c r="L48" i="15" s="1"/>
  <c r="F91" i="23" l="1"/>
  <c r="F76" i="23"/>
  <c r="K30" i="15"/>
  <c r="L26" i="15"/>
  <c r="AD108" i="2"/>
  <c r="AD205" i="2"/>
  <c r="K44" i="15"/>
  <c r="AH132" i="2"/>
  <c r="K38" i="15"/>
  <c r="K18" i="23" s="1"/>
  <c r="K42" i="15"/>
  <c r="AE122" i="2" l="1"/>
  <c r="AE127" i="2" s="1"/>
  <c r="AE38" i="2" s="1"/>
  <c r="L50" i="15" l="1"/>
  <c r="L52" i="15" s="1"/>
  <c r="L22" i="15" s="1"/>
  <c r="AE239" i="2"/>
  <c r="AE40" i="2"/>
  <c r="AE131" i="2" l="1"/>
  <c r="G19" i="23"/>
  <c r="AE138" i="2"/>
  <c r="AE148" i="2" s="1"/>
  <c r="AE211" i="2" s="1"/>
  <c r="AE247" i="2" s="1"/>
  <c r="L27" i="15"/>
  <c r="L29" i="15" s="1"/>
  <c r="L33" i="15"/>
  <c r="L35" i="15" s="1"/>
  <c r="L37" i="15" s="1"/>
  <c r="L23" i="15"/>
  <c r="M19" i="15" s="1"/>
  <c r="M46" i="15" s="1"/>
  <c r="G54" i="23" l="1"/>
  <c r="G68" i="23" s="1"/>
  <c r="G70" i="23" s="1"/>
  <c r="M47" i="15"/>
  <c r="M26" i="15"/>
  <c r="L44" i="15"/>
  <c r="L41" i="15"/>
  <c r="L42" i="15" s="1"/>
  <c r="L38" i="15"/>
  <c r="L18" i="23" s="1"/>
  <c r="L30" i="15"/>
  <c r="AE44" i="2"/>
  <c r="G112" i="23" s="1"/>
  <c r="G43" i="23"/>
  <c r="M50" i="15" l="1"/>
  <c r="M52" i="15" s="1"/>
  <c r="M48" i="15"/>
  <c r="G53" i="23"/>
  <c r="AE47" i="2"/>
  <c r="J21" i="3"/>
  <c r="AE50" i="2"/>
  <c r="G122" i="23"/>
  <c r="AE57" i="2"/>
  <c r="AE61" i="2" s="1"/>
  <c r="K43" i="23"/>
  <c r="AE48" i="2" l="1"/>
  <c r="AE64" i="2"/>
  <c r="M22" i="15"/>
  <c r="G111" i="23" l="1"/>
  <c r="G113" i="23" s="1"/>
  <c r="G114" i="23" s="1"/>
  <c r="G44" i="23"/>
  <c r="J22" i="3"/>
  <c r="M27" i="15"/>
  <c r="M29" i="15" s="1"/>
  <c r="M33" i="15"/>
  <c r="M35" i="15" s="1"/>
  <c r="M37" i="15" s="1"/>
  <c r="M23" i="15"/>
  <c r="N19" i="15" s="1"/>
  <c r="N46" i="15" s="1"/>
  <c r="AE229" i="2"/>
  <c r="G118" i="23" l="1"/>
  <c r="G119" i="23" s="1"/>
  <c r="G95" i="23"/>
  <c r="G96" i="23" s="1"/>
  <c r="G75" i="23"/>
  <c r="N47" i="15"/>
  <c r="M44" i="15"/>
  <c r="M41" i="15"/>
  <c r="M42" i="15" s="1"/>
  <c r="M38" i="15"/>
  <c r="M30" i="15"/>
  <c r="AE230" i="2"/>
  <c r="AE231" i="2" s="1"/>
  <c r="AE63" i="2" s="1"/>
  <c r="N26" i="15"/>
  <c r="N50" i="15" l="1"/>
  <c r="N52" i="15" s="1"/>
  <c r="N48" i="15"/>
  <c r="G123" i="23"/>
  <c r="AE66" i="2"/>
  <c r="AE72" i="2" s="1"/>
  <c r="AE104" i="2"/>
  <c r="AE246" i="2"/>
  <c r="L43" i="23"/>
  <c r="G124" i="23" l="1"/>
  <c r="G91" i="23" s="1"/>
  <c r="G76" i="23"/>
  <c r="N22" i="15"/>
  <c r="AE108" i="2"/>
  <c r="AE205" i="2"/>
  <c r="AF122" i="2" l="1"/>
  <c r="AF127" i="2" s="1"/>
  <c r="AF38" i="2" s="1"/>
  <c r="N27" i="15"/>
  <c r="N29" i="15" s="1"/>
  <c r="N33" i="15"/>
  <c r="N35" i="15" s="1"/>
  <c r="N37" i="15" s="1"/>
  <c r="N23" i="15"/>
  <c r="O19" i="15" s="1"/>
  <c r="AF239" i="2" l="1"/>
  <c r="AF40" i="2"/>
  <c r="O46" i="15"/>
  <c r="O26" i="15"/>
  <c r="N44" i="15"/>
  <c r="N38" i="15"/>
  <c r="N41" i="15"/>
  <c r="N42" i="15" s="1"/>
  <c r="N30" i="15"/>
  <c r="O47" i="15" l="1"/>
  <c r="AF131" i="2"/>
  <c r="H19" i="23"/>
  <c r="H54" i="23" s="1"/>
  <c r="H68" i="23" s="1"/>
  <c r="H70" i="23" s="1"/>
  <c r="AF138" i="2"/>
  <c r="AF148" i="2" s="1"/>
  <c r="AF211" i="2" s="1"/>
  <c r="AF247" i="2" s="1"/>
  <c r="AF44" i="2" l="1"/>
  <c r="H112" i="23" s="1"/>
  <c r="O50" i="15"/>
  <c r="O52" i="15" s="1"/>
  <c r="O22" i="15" s="1"/>
  <c r="O48" i="15"/>
  <c r="H53" i="23" l="1"/>
  <c r="H43" i="23"/>
  <c r="O27" i="15"/>
  <c r="O29" i="15" s="1"/>
  <c r="O33" i="15"/>
  <c r="O35" i="15" s="1"/>
  <c r="O37" i="15" s="1"/>
  <c r="O23" i="15"/>
  <c r="P19" i="15" s="1"/>
  <c r="P46" i="15" s="1"/>
  <c r="H117" i="23"/>
  <c r="H122" i="23" s="1"/>
  <c r="AF47" i="2"/>
  <c r="AF50" i="2"/>
  <c r="AF57" i="2"/>
  <c r="AF61" i="2" s="1"/>
  <c r="P47" i="15" l="1"/>
  <c r="O38" i="15"/>
  <c r="O44" i="15"/>
  <c r="O41" i="15"/>
  <c r="O42" i="15" s="1"/>
  <c r="O30" i="15"/>
  <c r="AF48" i="2"/>
  <c r="AF64" i="2"/>
  <c r="H111" i="23" s="1"/>
  <c r="P26" i="15"/>
  <c r="H25" i="23"/>
  <c r="P50" i="15" l="1"/>
  <c r="P52" i="15" s="1"/>
  <c r="P48" i="15"/>
  <c r="H44" i="23"/>
  <c r="H118" i="23" s="1"/>
  <c r="H113" i="23"/>
  <c r="H114" i="23" s="1"/>
  <c r="H95" i="23" s="1"/>
  <c r="AF229" i="2"/>
  <c r="H96" i="23" l="1"/>
  <c r="H75" i="23"/>
  <c r="H119" i="23"/>
  <c r="AF230" i="2"/>
  <c r="AF231" i="2" s="1"/>
  <c r="AF63" i="2" s="1"/>
  <c r="P22" i="15"/>
  <c r="H123" i="23" l="1"/>
  <c r="H124" i="23" s="1"/>
  <c r="H91" i="23" s="1"/>
  <c r="H92" i="23" s="1"/>
  <c r="H98" i="23" s="1"/>
  <c r="AF66" i="2"/>
  <c r="AF72" i="2" s="1"/>
  <c r="AF104" i="2"/>
  <c r="AF246" i="2"/>
  <c r="P27" i="15"/>
  <c r="P29" i="15" s="1"/>
  <c r="P33" i="15"/>
  <c r="P35" i="15" s="1"/>
  <c r="P37" i="15" s="1"/>
  <c r="P23" i="15"/>
  <c r="Q19" i="15" s="1"/>
  <c r="H76" i="23" l="1"/>
  <c r="Q26" i="15"/>
  <c r="Q46" i="15"/>
  <c r="AF108" i="2"/>
  <c r="AF205" i="2"/>
  <c r="P30" i="15"/>
  <c r="P44" i="15"/>
  <c r="P38" i="15"/>
  <c r="P41" i="15"/>
  <c r="P42" i="15" s="1"/>
  <c r="Q47" i="15" l="1"/>
  <c r="AG122" i="2"/>
  <c r="AG127" i="2" s="1"/>
  <c r="AG38" i="2" s="1"/>
  <c r="AG239" i="2" l="1"/>
  <c r="AG40" i="2"/>
  <c r="Q48" i="15"/>
  <c r="Q50" i="15"/>
  <c r="Q52" i="15" s="1"/>
  <c r="Q22" i="15" s="1"/>
  <c r="Q33" i="15" l="1"/>
  <c r="Q35" i="15" s="1"/>
  <c r="Q37" i="15" s="1"/>
  <c r="Q27" i="15"/>
  <c r="Q29" i="15" s="1"/>
  <c r="Q23" i="15"/>
  <c r="R19" i="15" s="1"/>
  <c r="AG131" i="2"/>
  <c r="I19" i="23"/>
  <c r="I54" i="23" s="1"/>
  <c r="I68" i="23" s="1"/>
  <c r="I70" i="23" s="1"/>
  <c r="AG138" i="2"/>
  <c r="AG148" i="2" s="1"/>
  <c r="AG211" i="2" s="1"/>
  <c r="AG247" i="2" s="1"/>
  <c r="Q30" i="15" l="1"/>
  <c r="AG44" i="2"/>
  <c r="I112" i="23" s="1"/>
  <c r="R26" i="15"/>
  <c r="R46" i="15"/>
  <c r="Q38" i="15"/>
  <c r="Q44" i="15"/>
  <c r="Q41" i="15"/>
  <c r="Q42" i="15" s="1"/>
  <c r="I53" i="23" l="1"/>
  <c r="AG47" i="2"/>
  <c r="AG50" i="2"/>
  <c r="I117" i="23"/>
  <c r="I122" i="23" s="1"/>
  <c r="AG57" i="2"/>
  <c r="AG61" i="2" s="1"/>
  <c r="R47" i="15"/>
  <c r="I43" i="23"/>
  <c r="I25" i="23" l="1"/>
  <c r="R48" i="15"/>
  <c r="R50" i="15"/>
  <c r="R52" i="15" s="1"/>
  <c r="R22" i="15" s="1"/>
  <c r="AG48" i="2"/>
  <c r="AG64" i="2"/>
  <c r="I111" i="23" s="1"/>
  <c r="I44" i="23" l="1"/>
  <c r="I113" i="23"/>
  <c r="I114" i="23" s="1"/>
  <c r="AG229" i="2"/>
  <c r="R27" i="15"/>
  <c r="R29" i="15" s="1"/>
  <c r="R33" i="15"/>
  <c r="R35" i="15" s="1"/>
  <c r="R37" i="15" s="1"/>
  <c r="R23" i="15"/>
  <c r="S19" i="15" s="1"/>
  <c r="I95" i="23" l="1"/>
  <c r="I96" i="23" s="1"/>
  <c r="I75" i="23"/>
  <c r="I118" i="23"/>
  <c r="R44" i="15"/>
  <c r="R38" i="15"/>
  <c r="R41" i="15"/>
  <c r="R42" i="15" s="1"/>
  <c r="S46" i="15"/>
  <c r="S26" i="15"/>
  <c r="R30" i="15"/>
  <c r="AG230" i="2"/>
  <c r="AG231" i="2" s="1"/>
  <c r="AG63" i="2" s="1"/>
  <c r="I119" i="23" l="1"/>
  <c r="I123" i="23"/>
  <c r="AG66" i="2"/>
  <c r="AG72" i="2" s="1"/>
  <c r="AG104" i="2"/>
  <c r="AG246" i="2"/>
  <c r="S47" i="15"/>
  <c r="I124" i="23" l="1"/>
  <c r="I91" i="23" s="1"/>
  <c r="I92" i="23" s="1"/>
  <c r="I98" i="23" s="1"/>
  <c r="I76" i="23"/>
  <c r="S48" i="15"/>
  <c r="S50" i="15"/>
  <c r="S52" i="15" s="1"/>
  <c r="S22" i="15" s="1"/>
  <c r="AG108" i="2"/>
  <c r="AG205" i="2"/>
  <c r="S27" i="15" l="1"/>
  <c r="S29" i="15" s="1"/>
  <c r="S33" i="15"/>
  <c r="S35" i="15" s="1"/>
  <c r="S37" i="15" s="1"/>
  <c r="S23" i="15"/>
  <c r="T19" i="15" s="1"/>
  <c r="AH122" i="2"/>
  <c r="AH127" i="2" s="1"/>
  <c r="AH38" i="2" s="1"/>
  <c r="T26" i="15" l="1"/>
  <c r="T46" i="15"/>
  <c r="AH239" i="2"/>
  <c r="AH40" i="2"/>
  <c r="S38" i="15"/>
  <c r="S44" i="15"/>
  <c r="S41" i="15"/>
  <c r="S42" i="15" s="1"/>
  <c r="S30" i="15"/>
  <c r="T47" i="15" l="1"/>
  <c r="AH131" i="2"/>
  <c r="AH138" i="2"/>
  <c r="AH148" i="2" s="1"/>
  <c r="AH211" i="2" s="1"/>
  <c r="AH247" i="2" s="1"/>
  <c r="J19" i="23"/>
  <c r="AH44" i="2" l="1"/>
  <c r="J112" i="23" s="1"/>
  <c r="K112" i="23" s="1"/>
  <c r="J54" i="23"/>
  <c r="J68" i="23" s="1"/>
  <c r="J70" i="23" s="1"/>
  <c r="K19" i="23"/>
  <c r="L19" i="23" s="1"/>
  <c r="T48" i="15"/>
  <c r="T50" i="15"/>
  <c r="T52" i="15" s="1"/>
  <c r="T22" i="15" s="1"/>
  <c r="L112" i="23" l="1"/>
  <c r="J53" i="23"/>
  <c r="K53" i="23" s="1"/>
  <c r="L53" i="23" s="1"/>
  <c r="J43" i="23"/>
  <c r="T33" i="15"/>
  <c r="T35" i="15" s="1"/>
  <c r="T37" i="15" s="1"/>
  <c r="T27" i="15"/>
  <c r="T29" i="15" s="1"/>
  <c r="T23" i="15"/>
  <c r="U19" i="15" s="1"/>
  <c r="K54" i="23"/>
  <c r="K68" i="23" s="1"/>
  <c r="K70" i="23" s="1"/>
  <c r="AH50" i="2"/>
  <c r="AH47" i="2"/>
  <c r="AH57" i="2"/>
  <c r="AH61" i="2" s="1"/>
  <c r="U26" i="15" l="1"/>
  <c r="U46" i="15"/>
  <c r="T30" i="15"/>
  <c r="J117" i="23"/>
  <c r="J122" i="23" s="1"/>
  <c r="AH48" i="2"/>
  <c r="AH64" i="2"/>
  <c r="J111" i="23" s="1"/>
  <c r="L54" i="23"/>
  <c r="L68" i="23" s="1"/>
  <c r="L70" i="23" s="1"/>
  <c r="T38" i="15"/>
  <c r="T44" i="15"/>
  <c r="T41" i="15"/>
  <c r="T42" i="15" s="1"/>
  <c r="J25" i="23"/>
  <c r="J113" i="23" l="1"/>
  <c r="J114" i="23" s="1"/>
  <c r="K111" i="23"/>
  <c r="J44" i="23"/>
  <c r="K117" i="23"/>
  <c r="K122" i="23" s="1"/>
  <c r="K25" i="23"/>
  <c r="AH229" i="2"/>
  <c r="U47" i="15"/>
  <c r="K113" i="23" l="1"/>
  <c r="K114" i="23" s="1"/>
  <c r="L111" i="23"/>
  <c r="L113" i="23" s="1"/>
  <c r="L114" i="23" s="1"/>
  <c r="J95" i="23"/>
  <c r="J96" i="23" s="1"/>
  <c r="J75" i="23"/>
  <c r="J118" i="23"/>
  <c r="K44" i="23"/>
  <c r="L44" i="23" s="1"/>
  <c r="U48" i="15"/>
  <c r="U50" i="15"/>
  <c r="U52" i="15" s="1"/>
  <c r="U22" i="15" s="1"/>
  <c r="AH230" i="2"/>
  <c r="AH231" i="2" s="1"/>
  <c r="AH63" i="2" s="1"/>
  <c r="L117" i="23"/>
  <c r="L122" i="23" s="1"/>
  <c r="L25" i="23"/>
  <c r="K118" i="23" l="1"/>
  <c r="K119" i="23" s="1"/>
  <c r="L95" i="23"/>
  <c r="L96" i="23" s="1"/>
  <c r="L75" i="23"/>
  <c r="K95" i="23"/>
  <c r="K96" i="23" s="1"/>
  <c r="K75" i="23"/>
  <c r="J119" i="23"/>
  <c r="J123" i="23"/>
  <c r="L118" i="23"/>
  <c r="AH66" i="2"/>
  <c r="AH72" i="2" s="1"/>
  <c r="AH104" i="2"/>
  <c r="AH246" i="2"/>
  <c r="U27" i="15"/>
  <c r="U29" i="15" s="1"/>
  <c r="U33" i="15"/>
  <c r="U35" i="15" s="1"/>
  <c r="U37" i="15" s="1"/>
  <c r="U23" i="15"/>
  <c r="V19" i="15" s="1"/>
  <c r="J124" i="23" l="1"/>
  <c r="J91" i="23" s="1"/>
  <c r="J92" i="23" s="1"/>
  <c r="J98" i="23" s="1"/>
  <c r="J76" i="23"/>
  <c r="K123" i="23"/>
  <c r="L119" i="23"/>
  <c r="L123" i="23"/>
  <c r="U30" i="15"/>
  <c r="V26" i="15"/>
  <c r="V46" i="15"/>
  <c r="AH205" i="2"/>
  <c r="AH108" i="2"/>
  <c r="U44" i="15"/>
  <c r="U41" i="15"/>
  <c r="U42" i="15" s="1"/>
  <c r="U38" i="15"/>
  <c r="L124" i="23" l="1"/>
  <c r="L91" i="23" s="1"/>
  <c r="L92" i="23" s="1"/>
  <c r="L98" i="23" s="1"/>
  <c r="L76" i="23"/>
  <c r="K124" i="23"/>
  <c r="K91" i="23" s="1"/>
  <c r="K92" i="23" s="1"/>
  <c r="K98" i="23" s="1"/>
  <c r="K76" i="23"/>
  <c r="V47" i="15"/>
  <c r="V48" i="15" l="1"/>
  <c r="V50" i="15"/>
  <c r="V52" i="15" s="1"/>
  <c r="V22" i="15" s="1"/>
  <c r="V27" i="15" l="1"/>
  <c r="V29" i="15" s="1"/>
  <c r="V33" i="15"/>
  <c r="V35" i="15" s="1"/>
  <c r="V37" i="15" s="1"/>
  <c r="V23" i="15"/>
  <c r="W19" i="15" s="1"/>
  <c r="W46" i="15" l="1"/>
  <c r="W26" i="15"/>
  <c r="V38" i="15"/>
  <c r="V44" i="15"/>
  <c r="V41" i="15"/>
  <c r="V42" i="15" s="1"/>
  <c r="V30" i="15"/>
  <c r="W47" i="15" l="1"/>
  <c r="W50" i="15" l="1"/>
  <c r="W52" i="15" s="1"/>
  <c r="W22" i="15" s="1"/>
  <c r="W48" i="15"/>
  <c r="W27" i="15" l="1"/>
  <c r="W29" i="15" s="1"/>
  <c r="W33" i="15"/>
  <c r="W35" i="15" s="1"/>
  <c r="W37" i="15" s="1"/>
  <c r="W23" i="15"/>
  <c r="X19" i="15" s="1"/>
  <c r="X46" i="15" l="1"/>
  <c r="X26" i="15"/>
  <c r="W44" i="15"/>
  <c r="W38" i="15"/>
  <c r="W41" i="15"/>
  <c r="W42" i="15" s="1"/>
  <c r="W30" i="15"/>
  <c r="X47" i="15" l="1"/>
  <c r="X50" i="15" l="1"/>
  <c r="X52" i="15" s="1"/>
  <c r="X22" i="15" s="1"/>
  <c r="X48" i="15"/>
  <c r="X27" i="15" l="1"/>
  <c r="X29" i="15" s="1"/>
  <c r="X33" i="15"/>
  <c r="X35" i="15" s="1"/>
  <c r="X37" i="15" s="1"/>
  <c r="X23" i="15"/>
  <c r="Y19" i="15" s="1"/>
  <c r="Y26" i="15" l="1"/>
  <c r="Y46" i="15"/>
  <c r="X44" i="15"/>
  <c r="X38" i="15"/>
  <c r="X41" i="15"/>
  <c r="X42" i="15" s="1"/>
  <c r="X30" i="15"/>
  <c r="Y47" i="15" l="1"/>
  <c r="Y48" i="15" l="1"/>
  <c r="Y50" i="15"/>
  <c r="Y52" i="15" s="1"/>
  <c r="Y22" i="15" s="1"/>
  <c r="Y27" i="15" l="1"/>
  <c r="Y29" i="15" s="1"/>
  <c r="Y33" i="15"/>
  <c r="Y35" i="15" s="1"/>
  <c r="Y37" i="15" s="1"/>
  <c r="Y23" i="15"/>
  <c r="Z19" i="15" s="1"/>
  <c r="Z46" i="15" l="1"/>
  <c r="Z26" i="15"/>
  <c r="Y44" i="15"/>
  <c r="Y41" i="15"/>
  <c r="Y42" i="15" s="1"/>
  <c r="Y38" i="15"/>
  <c r="Y30" i="15"/>
  <c r="Z47" i="15" l="1"/>
  <c r="Z48" i="15" l="1"/>
  <c r="Z50" i="15"/>
  <c r="Z52" i="15" s="1"/>
  <c r="Z22" i="15" s="1"/>
  <c r="Z27" i="15" l="1"/>
  <c r="Z29" i="15" s="1"/>
  <c r="Z33" i="15"/>
  <c r="Z35" i="15" s="1"/>
  <c r="Z37" i="15" s="1"/>
  <c r="Z23" i="15"/>
  <c r="AA19" i="15" s="1"/>
  <c r="AA46" i="15" l="1"/>
  <c r="AA26" i="15"/>
  <c r="Z44" i="15"/>
  <c r="Z38" i="15"/>
  <c r="Z41" i="15"/>
  <c r="Z42" i="15" s="1"/>
  <c r="Z30" i="15"/>
  <c r="AA47" i="15" l="1"/>
  <c r="AA50" i="15" l="1"/>
  <c r="AA52" i="15" s="1"/>
  <c r="AA22" i="15" s="1"/>
  <c r="AA48" i="15"/>
  <c r="AA33" i="15" l="1"/>
  <c r="AA35" i="15" s="1"/>
  <c r="AA37" i="15" s="1"/>
  <c r="AA27" i="15"/>
  <c r="AA29" i="15" s="1"/>
  <c r="AA23" i="15"/>
  <c r="AB19" i="15" s="1"/>
  <c r="AB26" i="15" l="1"/>
  <c r="AB46" i="15"/>
  <c r="AA30" i="15"/>
  <c r="AA44" i="15"/>
  <c r="AA41" i="15"/>
  <c r="AA42" i="15" s="1"/>
  <c r="AA38" i="15"/>
  <c r="AB47" i="15" l="1"/>
  <c r="AB48" i="15" l="1"/>
  <c r="AB50" i="15"/>
  <c r="AB52" i="15" s="1"/>
  <c r="AB22" i="15" s="1"/>
  <c r="AB27" i="15" l="1"/>
  <c r="AB29" i="15" s="1"/>
  <c r="AB33" i="15"/>
  <c r="AB35" i="15" s="1"/>
  <c r="AB37" i="15" s="1"/>
  <c r="AB23" i="15"/>
  <c r="AC19" i="15" s="1"/>
  <c r="AC46" i="15" l="1"/>
  <c r="AC26" i="15"/>
  <c r="AB44" i="15"/>
  <c r="AB38" i="15"/>
  <c r="AB41" i="15"/>
  <c r="AB42" i="15" s="1"/>
  <c r="AB30" i="15"/>
  <c r="AC47" i="15" l="1"/>
  <c r="AC48" i="15" l="1"/>
  <c r="AC50" i="15"/>
  <c r="AC52" i="15" s="1"/>
  <c r="AC22" i="15" s="1"/>
  <c r="AC33" i="15" l="1"/>
  <c r="AC35" i="15" s="1"/>
  <c r="AC37" i="15" s="1"/>
  <c r="AC27" i="15"/>
  <c r="AC29" i="15" s="1"/>
  <c r="AC23" i="15"/>
  <c r="AD19" i="15" s="1"/>
  <c r="AD26" i="15" l="1"/>
  <c r="AD46" i="15"/>
  <c r="AC30" i="15"/>
  <c r="AC38" i="15"/>
  <c r="AC44" i="15"/>
  <c r="AC41" i="15"/>
  <c r="AC42" i="15" s="1"/>
  <c r="AD47" i="15" l="1"/>
  <c r="AD48" i="15" l="1"/>
  <c r="AD50" i="15"/>
  <c r="AD52" i="15" s="1"/>
  <c r="AD22" i="15" s="1"/>
  <c r="AD27" i="15" l="1"/>
  <c r="AD29" i="15" s="1"/>
  <c r="AD33" i="15"/>
  <c r="AD35" i="15" s="1"/>
  <c r="AD37" i="15" s="1"/>
  <c r="AD23" i="15"/>
  <c r="AE19" i="15" s="1"/>
  <c r="AE26" i="15" l="1"/>
  <c r="AE46" i="15"/>
  <c r="AD38" i="15"/>
  <c r="AD44" i="15"/>
  <c r="AD41" i="15"/>
  <c r="AD42" i="15" s="1"/>
  <c r="AD30" i="15"/>
  <c r="AE47" i="15" l="1"/>
  <c r="AE48" i="15" l="1"/>
  <c r="AE50" i="15"/>
  <c r="AE52" i="15" s="1"/>
  <c r="AE22" i="15" s="1"/>
  <c r="AE27" i="15" l="1"/>
  <c r="AE29" i="15" s="1"/>
  <c r="AE33" i="15"/>
  <c r="AE35" i="15" s="1"/>
  <c r="AE37" i="15" s="1"/>
  <c r="AE23" i="15"/>
  <c r="AF19" i="15" s="1"/>
  <c r="AF26" i="15" l="1"/>
  <c r="AF46" i="15"/>
  <c r="AE38" i="15"/>
  <c r="AE44" i="15"/>
  <c r="AE41" i="15"/>
  <c r="AE42" i="15" s="1"/>
  <c r="AE30" i="15"/>
  <c r="AF47" i="15" l="1"/>
  <c r="AF50" i="15" l="1"/>
  <c r="AF52" i="15" s="1"/>
  <c r="AF22" i="15" s="1"/>
  <c r="AF48" i="15"/>
  <c r="AF27" i="15" l="1"/>
  <c r="AF29" i="15" s="1"/>
  <c r="AF33" i="15"/>
  <c r="AF35" i="15" s="1"/>
  <c r="AF37" i="15" s="1"/>
  <c r="AF23" i="15"/>
  <c r="AG19" i="15" s="1"/>
  <c r="AG26" i="15" l="1"/>
  <c r="AG46" i="15"/>
  <c r="AF38" i="15"/>
  <c r="AF41" i="15"/>
  <c r="AF42" i="15" s="1"/>
  <c r="AF44" i="15"/>
  <c r="AF30" i="15"/>
  <c r="AG47" i="15" l="1"/>
  <c r="AG50" i="15" l="1"/>
  <c r="AG52" i="15" s="1"/>
  <c r="AG22" i="15" s="1"/>
  <c r="AG48" i="15"/>
  <c r="AG27" i="15" l="1"/>
  <c r="AG29" i="15" s="1"/>
  <c r="AG33" i="15"/>
  <c r="AG35" i="15" s="1"/>
  <c r="AG37" i="15" s="1"/>
  <c r="AG23" i="15"/>
  <c r="AH19" i="15" s="1"/>
  <c r="AH26" i="15" l="1"/>
  <c r="AH46" i="15"/>
  <c r="AG44" i="15"/>
  <c r="AG38" i="15"/>
  <c r="AG41" i="15"/>
  <c r="AG42" i="15" s="1"/>
  <c r="AG30" i="15"/>
  <c r="AH47" i="15" l="1"/>
  <c r="AH48" i="15" l="1"/>
  <c r="AH50" i="15"/>
  <c r="AH52" i="15" s="1"/>
  <c r="AH22" i="15" s="1"/>
  <c r="AH27" i="15" l="1"/>
  <c r="AH29" i="15" s="1"/>
  <c r="AH33" i="15"/>
  <c r="AH35" i="15" s="1"/>
  <c r="AH37" i="15" s="1"/>
  <c r="AH23" i="15"/>
  <c r="AI19" i="15" s="1"/>
  <c r="AI26" i="15" l="1"/>
  <c r="AI46" i="15"/>
  <c r="AH44" i="15"/>
  <c r="AH38" i="15"/>
  <c r="AH41" i="15"/>
  <c r="AH42" i="15" s="1"/>
  <c r="AH30" i="15"/>
  <c r="AI47" i="15" l="1"/>
  <c r="AI50" i="15" l="1"/>
  <c r="AI52" i="15" s="1"/>
  <c r="AI22" i="15" s="1"/>
  <c r="AI48" i="15"/>
  <c r="AI27" i="15" l="1"/>
  <c r="AI29" i="15" s="1"/>
  <c r="AI33" i="15"/>
  <c r="AI35" i="15" s="1"/>
  <c r="AI37" i="15" s="1"/>
  <c r="AI23" i="15"/>
  <c r="AJ19" i="15" s="1"/>
  <c r="AJ46" i="15" l="1"/>
  <c r="AJ26" i="15"/>
  <c r="AI38" i="15"/>
  <c r="AI44" i="15"/>
  <c r="AI41" i="15"/>
  <c r="AI42" i="15" s="1"/>
  <c r="AI30" i="15"/>
  <c r="AJ47" i="15" l="1"/>
  <c r="AJ48" i="15" l="1"/>
  <c r="AJ50" i="15"/>
  <c r="AJ52" i="15" s="1"/>
  <c r="AJ22" i="15" s="1"/>
  <c r="AJ33" i="15" l="1"/>
  <c r="AJ35" i="15" s="1"/>
  <c r="AJ37" i="15" s="1"/>
  <c r="AJ27" i="15"/>
  <c r="AJ29" i="15" s="1"/>
  <c r="AJ23" i="15"/>
  <c r="AK19" i="15" s="1"/>
  <c r="AK26" i="15" l="1"/>
  <c r="AK46" i="15"/>
  <c r="AJ30" i="15"/>
  <c r="AJ38" i="15"/>
  <c r="AJ41" i="15"/>
  <c r="AJ42" i="15" s="1"/>
  <c r="AJ44" i="15"/>
  <c r="AK47" i="15" l="1"/>
  <c r="AK48" i="15" l="1"/>
  <c r="AK50" i="15"/>
  <c r="AK52" i="15" s="1"/>
  <c r="AK22" i="15" s="1"/>
  <c r="AK33" i="15" l="1"/>
  <c r="AK35" i="15" s="1"/>
  <c r="AK37" i="15" s="1"/>
  <c r="AK27" i="15"/>
  <c r="AK29" i="15" s="1"/>
  <c r="AK23" i="15"/>
  <c r="AL19" i="15" s="1"/>
  <c r="AL26" i="15" l="1"/>
  <c r="AL46" i="15"/>
  <c r="AK30" i="15"/>
  <c r="AK44" i="15"/>
  <c r="AK38" i="15"/>
  <c r="AK41" i="15"/>
  <c r="AK42" i="15" s="1"/>
  <c r="AL47" i="15" l="1"/>
  <c r="AL50" i="15" l="1"/>
  <c r="AL52" i="15" s="1"/>
  <c r="AL22" i="15" s="1"/>
  <c r="AL48" i="15"/>
  <c r="AL27" i="15" l="1"/>
  <c r="AL29" i="15" s="1"/>
  <c r="AL33" i="15"/>
  <c r="AL35" i="15" s="1"/>
  <c r="AL37" i="15" s="1"/>
  <c r="AL23" i="15"/>
  <c r="AL38" i="15" l="1"/>
  <c r="AL44" i="15"/>
  <c r="AL41" i="15"/>
  <c r="AL42" i="15" s="1"/>
  <c r="C42" i="15" s="1"/>
  <c r="AL30" i="15"/>
  <c r="V94" i="2" l="1"/>
  <c r="V42" i="2"/>
  <c r="V44" i="2" s="1"/>
  <c r="F25" i="3"/>
  <c r="X42" i="2" l="1"/>
  <c r="AA42" i="2" s="1"/>
  <c r="V59" i="2"/>
  <c r="X59" i="2" s="1"/>
  <c r="AA59" i="2" s="1"/>
  <c r="V57" i="2"/>
  <c r="V112" i="2"/>
  <c r="X44" i="2" l="1"/>
  <c r="U12" i="23" s="1"/>
  <c r="V61" i="2"/>
  <c r="V114" i="2"/>
  <c r="V116" i="2" s="1"/>
  <c r="X112" i="2"/>
  <c r="AA44" i="2"/>
  <c r="AA211" i="2"/>
  <c r="Y16" i="23" l="1"/>
  <c r="Y18" i="23" s="1"/>
  <c r="Y20" i="23" s="1"/>
  <c r="O55" i="23" s="1"/>
  <c r="C44" i="23"/>
  <c r="C53" i="23"/>
  <c r="C111" i="23"/>
  <c r="C112" i="23"/>
  <c r="V72" i="2"/>
  <c r="V75" i="2" s="1"/>
  <c r="V80" i="2" s="1"/>
  <c r="X47" i="2"/>
  <c r="C39" i="3"/>
  <c r="C45" i="3" s="1"/>
  <c r="X57" i="2"/>
  <c r="X61" i="2" s="1"/>
  <c r="U26" i="23"/>
  <c r="U28" i="23" s="1"/>
  <c r="AA57" i="2"/>
  <c r="AA61" i="2" s="1"/>
  <c r="AA246" i="2"/>
  <c r="AA47" i="2"/>
  <c r="AA213" i="2"/>
  <c r="X114" i="2"/>
  <c r="Y112" i="2"/>
  <c r="C113" i="23" l="1"/>
  <c r="C114" i="23" s="1"/>
  <c r="C95" i="23" s="1"/>
  <c r="C96" i="23" s="1"/>
  <c r="Y22" i="23"/>
  <c r="Y28" i="23" s="1"/>
  <c r="O23" i="23" s="1"/>
  <c r="P23" i="23" s="1"/>
  <c r="C118" i="23"/>
  <c r="P17" i="23"/>
  <c r="P19" i="23" s="1"/>
  <c r="P22" i="23" s="1"/>
  <c r="O47" i="23"/>
  <c r="O49" i="23" s="1"/>
  <c r="X80" i="2"/>
  <c r="X83" i="2" s="1"/>
  <c r="C84" i="23"/>
  <c r="F23" i="3"/>
  <c r="F28" i="3" s="1"/>
  <c r="F30" i="3" s="1"/>
  <c r="P55" i="23"/>
  <c r="R55" i="23"/>
  <c r="Q55" i="23"/>
  <c r="X238" i="2"/>
  <c r="X116" i="2"/>
  <c r="C40" i="3"/>
  <c r="C46" i="3" s="1"/>
  <c r="Y114" i="2"/>
  <c r="Y116" i="2" s="1"/>
  <c r="Z112" i="2"/>
  <c r="C75" i="23" l="1"/>
  <c r="O24" i="23"/>
  <c r="O28" i="23" s="1"/>
  <c r="P24" i="23"/>
  <c r="P28" i="23" s="1"/>
  <c r="C123" i="23"/>
  <c r="C124" i="23" s="1"/>
  <c r="C91" i="23" s="1"/>
  <c r="C119" i="23"/>
  <c r="F32" i="3"/>
  <c r="C90" i="23"/>
  <c r="V96" i="2"/>
  <c r="V118" i="2" s="1"/>
  <c r="C22" i="23"/>
  <c r="C28" i="24" s="1"/>
  <c r="X75" i="2"/>
  <c r="X72" i="2" s="1"/>
  <c r="X70" i="2" s="1"/>
  <c r="X69" i="2" s="1"/>
  <c r="AA69" i="2" s="1"/>
  <c r="AA70" i="2" s="1"/>
  <c r="AA72" i="2" s="1"/>
  <c r="AA75" i="2" s="1"/>
  <c r="AB73" i="2" s="1"/>
  <c r="AB75" i="2" s="1"/>
  <c r="AC73" i="2" s="1"/>
  <c r="AC75" i="2" s="1"/>
  <c r="AD73" i="2" s="1"/>
  <c r="AD75" i="2" s="1"/>
  <c r="AE73" i="2" s="1"/>
  <c r="AE75" i="2" s="1"/>
  <c r="AF73" i="2" s="1"/>
  <c r="AF75" i="2" s="1"/>
  <c r="AG73" i="2" s="1"/>
  <c r="AG75" i="2" s="1"/>
  <c r="AH73" i="2" s="1"/>
  <c r="AH75" i="2" s="1"/>
  <c r="O53" i="23"/>
  <c r="W53" i="23"/>
  <c r="W54" i="23" s="1"/>
  <c r="W56" i="23" s="1"/>
  <c r="W58" i="23" s="1"/>
  <c r="C50" i="23" s="1"/>
  <c r="Y80" i="2"/>
  <c r="Y83" i="2" s="1"/>
  <c r="C88" i="23"/>
  <c r="X94" i="2"/>
  <c r="Y94" i="2" s="1"/>
  <c r="Z94" i="2" s="1"/>
  <c r="AA94" i="2" s="1"/>
  <c r="AB94" i="2" s="1"/>
  <c r="AC94" i="2" s="1"/>
  <c r="G20" i="3"/>
  <c r="G23" i="3" s="1"/>
  <c r="H20" i="3" s="1"/>
  <c r="H23" i="3" s="1"/>
  <c r="Z114" i="2"/>
  <c r="Z116" i="2" s="1"/>
  <c r="AA112" i="2"/>
  <c r="C92" i="23" l="1"/>
  <c r="Y73" i="2"/>
  <c r="Y75" i="2" s="1"/>
  <c r="Z73" i="2" s="1"/>
  <c r="Z75" i="2" s="1"/>
  <c r="Z80" i="2"/>
  <c r="Z83" i="2" s="1"/>
  <c r="Z96" i="2" s="1"/>
  <c r="Z118" i="2" s="1"/>
  <c r="Y96" i="2"/>
  <c r="Y118" i="2" s="1"/>
  <c r="X96" i="2"/>
  <c r="X118" i="2" s="1"/>
  <c r="G28" i="3"/>
  <c r="G30" i="3" s="1"/>
  <c r="P47" i="23"/>
  <c r="H28" i="3"/>
  <c r="H30" i="3" s="1"/>
  <c r="C52" i="23"/>
  <c r="C67" i="23" s="1"/>
  <c r="AA114" i="2"/>
  <c r="AB112" i="2"/>
  <c r="AD94" i="2"/>
  <c r="W47" i="23"/>
  <c r="AA80" i="2" l="1"/>
  <c r="AB80" i="2" s="1"/>
  <c r="AB83" i="2" s="1"/>
  <c r="AB96" i="2" s="1"/>
  <c r="C105" i="23"/>
  <c r="C51" i="23" s="1"/>
  <c r="C98" i="23"/>
  <c r="C76" i="23"/>
  <c r="O58" i="23"/>
  <c r="O60" i="23" s="1"/>
  <c r="O64" i="23" s="1"/>
  <c r="C69" i="23"/>
  <c r="C74" i="23" s="1"/>
  <c r="Q47" i="23"/>
  <c r="P49" i="23"/>
  <c r="AE94" i="2"/>
  <c r="AB114" i="2"/>
  <c r="AB243" i="2" s="1"/>
  <c r="AC112" i="2"/>
  <c r="D90" i="23"/>
  <c r="D92" i="23" s="1"/>
  <c r="D98" i="23" s="1"/>
  <c r="X47" i="23"/>
  <c r="G32" i="3"/>
  <c r="D17" i="23" s="1"/>
  <c r="C17" i="23"/>
  <c r="C25" i="23" s="1"/>
  <c r="D52" i="23"/>
  <c r="D67" i="23" s="1"/>
  <c r="AA116" i="2"/>
  <c r="AA238" i="2"/>
  <c r="AA243" i="2"/>
  <c r="I20" i="3"/>
  <c r="I23" i="3" s="1"/>
  <c r="I28" i="3" s="1"/>
  <c r="I30" i="3" s="1"/>
  <c r="AC80" i="2" l="1"/>
  <c r="AC83" i="2" s="1"/>
  <c r="AC96" i="2" s="1"/>
  <c r="AC242" i="2" s="1"/>
  <c r="AA83" i="2"/>
  <c r="AA96" i="2" s="1"/>
  <c r="AA242" i="2" s="1"/>
  <c r="C70" i="23"/>
  <c r="C31" i="23"/>
  <c r="R47" i="23"/>
  <c r="R49" i="23" s="1"/>
  <c r="Q49" i="23"/>
  <c r="P53" i="23"/>
  <c r="P58" i="23" s="1"/>
  <c r="P60" i="23" s="1"/>
  <c r="X53" i="23"/>
  <c r="X54" i="23" s="1"/>
  <c r="X56" i="23" s="1"/>
  <c r="AC114" i="2"/>
  <c r="AC243" i="2" s="1"/>
  <c r="AD112" i="2"/>
  <c r="J20" i="3"/>
  <c r="J23" i="3" s="1"/>
  <c r="J30" i="3" s="1"/>
  <c r="AF94" i="2"/>
  <c r="E52" i="23"/>
  <c r="E67" i="23" s="1"/>
  <c r="E90" i="23"/>
  <c r="E92" i="23" s="1"/>
  <c r="E98" i="23" s="1"/>
  <c r="Y47" i="23"/>
  <c r="H32" i="3"/>
  <c r="D25" i="23"/>
  <c r="AB116" i="2"/>
  <c r="AB118" i="2" s="1"/>
  <c r="AB238" i="2"/>
  <c r="AD80" i="2" l="1"/>
  <c r="AD83" i="2" s="1"/>
  <c r="AD96" i="2" s="1"/>
  <c r="AD242" i="2" s="1"/>
  <c r="AA118" i="2"/>
  <c r="AB242" i="2"/>
  <c r="C33" i="23"/>
  <c r="C33" i="24"/>
  <c r="C34" i="24" s="1"/>
  <c r="C78" i="23"/>
  <c r="J28" i="3"/>
  <c r="Q53" i="23"/>
  <c r="Q58" i="23" s="1"/>
  <c r="Q60" i="23" s="1"/>
  <c r="Y53" i="23"/>
  <c r="Y54" i="23" s="1"/>
  <c r="Y56" i="23" s="1"/>
  <c r="P64" i="23"/>
  <c r="X58" i="23"/>
  <c r="R53" i="23"/>
  <c r="R58" i="23" s="1"/>
  <c r="Z53" i="23"/>
  <c r="Z54" i="23" s="1"/>
  <c r="Z56" i="23" s="1"/>
  <c r="F90" i="23"/>
  <c r="F92" i="23" s="1"/>
  <c r="F98" i="23" s="1"/>
  <c r="Z47" i="23"/>
  <c r="AC47" i="23" s="1"/>
  <c r="I32" i="3"/>
  <c r="F17" i="23" s="1"/>
  <c r="AD114" i="2"/>
  <c r="AD243" i="2" s="1"/>
  <c r="AE112" i="2"/>
  <c r="E17" i="23"/>
  <c r="E25" i="23" s="1"/>
  <c r="AE80" i="2"/>
  <c r="AC116" i="2"/>
  <c r="AC118" i="2" s="1"/>
  <c r="AC238" i="2"/>
  <c r="AG94" i="2"/>
  <c r="AA47" i="23"/>
  <c r="G90" i="23"/>
  <c r="G92" i="23" s="1"/>
  <c r="G98" i="23" s="1"/>
  <c r="J32" i="3"/>
  <c r="G17" i="23" s="1"/>
  <c r="G25" i="23" s="1"/>
  <c r="F52" i="23"/>
  <c r="F67" i="23" s="1"/>
  <c r="D50" i="23" l="1"/>
  <c r="D69" i="23"/>
  <c r="D74" i="23" s="1"/>
  <c r="C80" i="23"/>
  <c r="C100" i="23" s="1"/>
  <c r="C55" i="23"/>
  <c r="C42" i="23"/>
  <c r="Z58" i="23"/>
  <c r="Q64" i="23"/>
  <c r="R60" i="23"/>
  <c r="Y58" i="23"/>
  <c r="F25" i="23"/>
  <c r="J34" i="3"/>
  <c r="C27" i="24" s="1"/>
  <c r="C29" i="24" s="1"/>
  <c r="AH94" i="2"/>
  <c r="AD116" i="2"/>
  <c r="AD118" i="2" s="1"/>
  <c r="AD238" i="2"/>
  <c r="AE83" i="2"/>
  <c r="AE96" i="2" s="1"/>
  <c r="AF80" i="2"/>
  <c r="AE114" i="2"/>
  <c r="AF112" i="2"/>
  <c r="C46" i="23" l="1"/>
  <c r="C106" i="23"/>
  <c r="C107" i="23" s="1"/>
  <c r="D28" i="23" s="1"/>
  <c r="F50" i="23"/>
  <c r="F69" i="23"/>
  <c r="F74" i="23" s="1"/>
  <c r="D70" i="23"/>
  <c r="E50" i="23"/>
  <c r="E69" i="23"/>
  <c r="E70" i="23" s="1"/>
  <c r="R64" i="23"/>
  <c r="S60" i="23"/>
  <c r="S64" i="23" s="1"/>
  <c r="AF83" i="2"/>
  <c r="AF96" i="2" s="1"/>
  <c r="AG80" i="2"/>
  <c r="AF114" i="2"/>
  <c r="AF243" i="2" s="1"/>
  <c r="AG112" i="2"/>
  <c r="AE116" i="2"/>
  <c r="AE118" i="2" s="1"/>
  <c r="AE238" i="2"/>
  <c r="AE243" i="2"/>
  <c r="AE242" i="2"/>
  <c r="E74" i="23" l="1"/>
  <c r="F70" i="23"/>
  <c r="D29" i="23"/>
  <c r="D31" i="23" s="1"/>
  <c r="D45" i="23"/>
  <c r="D77" i="23" s="1"/>
  <c r="C102" i="23"/>
  <c r="AH112" i="2"/>
  <c r="AH114" i="2" s="1"/>
  <c r="AG114" i="2"/>
  <c r="AG243" i="2" s="1"/>
  <c r="AG83" i="2"/>
  <c r="AG96" i="2" s="1"/>
  <c r="AH80" i="2"/>
  <c r="AH83" i="2" s="1"/>
  <c r="AH96" i="2" s="1"/>
  <c r="AF242" i="2"/>
  <c r="AF116" i="2"/>
  <c r="AF118" i="2" s="1"/>
  <c r="AF238" i="2"/>
  <c r="D33" i="23" l="1"/>
  <c r="D33" i="24"/>
  <c r="D34" i="24" s="1"/>
  <c r="D105" i="23"/>
  <c r="D42" i="23" s="1"/>
  <c r="D46" i="23" s="1"/>
  <c r="D78" i="23"/>
  <c r="D80" i="23" s="1"/>
  <c r="D100" i="23" s="1"/>
  <c r="AH242" i="2"/>
  <c r="AG242" i="2"/>
  <c r="AG116" i="2"/>
  <c r="AG118" i="2" s="1"/>
  <c r="AG238" i="2"/>
  <c r="AH243" i="2"/>
  <c r="AH116" i="2"/>
  <c r="AH118" i="2" s="1"/>
  <c r="AH238" i="2"/>
  <c r="D51" i="23" l="1"/>
  <c r="D55" i="23" s="1"/>
  <c r="D106" i="23" l="1"/>
  <c r="D107" i="23" s="1"/>
  <c r="E28" i="23" s="1"/>
  <c r="E29" i="23" s="1"/>
  <c r="E31" i="23" s="1"/>
  <c r="D102" i="23"/>
  <c r="E33" i="23" l="1"/>
  <c r="E33" i="24"/>
  <c r="E34" i="24" s="1"/>
  <c r="E45" i="23"/>
  <c r="E105" i="23" l="1"/>
  <c r="E51" i="23" s="1"/>
  <c r="E55" i="23" s="1"/>
  <c r="E77" i="23"/>
  <c r="E78" i="23" s="1"/>
  <c r="E80" i="23" s="1"/>
  <c r="E100" i="23" s="1"/>
  <c r="E42" i="23" l="1"/>
  <c r="E106" i="23" s="1"/>
  <c r="E107" i="23" s="1"/>
  <c r="F28" i="23" s="1"/>
  <c r="F29" i="23" s="1"/>
  <c r="F31" i="23" s="1"/>
  <c r="F33" i="23" l="1"/>
  <c r="F33" i="24"/>
  <c r="F34" i="24" s="1"/>
  <c r="E46" i="23"/>
  <c r="F45" i="23"/>
  <c r="F77" i="23" s="1"/>
  <c r="F78" i="23" s="1"/>
  <c r="F80" i="23" s="1"/>
  <c r="F100" i="23" s="1"/>
  <c r="E102" i="23"/>
  <c r="F105" i="23" l="1"/>
  <c r="F51" i="23" s="1"/>
  <c r="F55" i="23" s="1"/>
  <c r="F42" i="23" l="1"/>
  <c r="F106" i="23" s="1"/>
  <c r="F107" i="23" s="1"/>
  <c r="G28" i="23" s="1"/>
  <c r="F102" i="23"/>
  <c r="F46" i="23" l="1"/>
  <c r="G45" i="23"/>
  <c r="G77" i="23" s="1"/>
  <c r="G29" i="23"/>
  <c r="G31" i="23" s="1"/>
  <c r="G33" i="23" l="1"/>
  <c r="G33" i="24"/>
  <c r="G34" i="24" s="1"/>
  <c r="G105" i="23"/>
  <c r="G42" i="23" s="1"/>
  <c r="G78" i="23"/>
  <c r="G80" i="23" s="1"/>
  <c r="G100" i="23" s="1"/>
  <c r="G51" i="23" l="1"/>
  <c r="G55" i="23" s="1"/>
  <c r="G46" i="23"/>
  <c r="G106" i="23" l="1"/>
  <c r="G107" i="23" s="1"/>
  <c r="H28" i="23" s="1"/>
  <c r="G102" i="23"/>
  <c r="H45" i="23" l="1"/>
  <c r="H77" i="23" s="1"/>
  <c r="H29" i="23"/>
  <c r="H31" i="23" s="1"/>
  <c r="H33" i="23" l="1"/>
  <c r="H33" i="24"/>
  <c r="H34" i="24" s="1"/>
  <c r="H105" i="23"/>
  <c r="H42" i="23" s="1"/>
  <c r="H78" i="23"/>
  <c r="H80" i="23" s="1"/>
  <c r="H100" i="23" s="1"/>
  <c r="H51" i="23" l="1"/>
  <c r="H55" i="23" s="1"/>
  <c r="H46" i="23"/>
  <c r="H106" i="23" l="1"/>
  <c r="H107" i="23" s="1"/>
  <c r="I28" i="23" s="1"/>
  <c r="H102" i="23" l="1"/>
  <c r="I29" i="23"/>
  <c r="I31" i="23" s="1"/>
  <c r="I45" i="23"/>
  <c r="I77" i="23" s="1"/>
  <c r="I33" i="23" l="1"/>
  <c r="I33" i="24"/>
  <c r="I34" i="24" s="1"/>
  <c r="I105" i="23"/>
  <c r="I42" i="23" s="1"/>
  <c r="I78" i="23"/>
  <c r="I80" i="23" s="1"/>
  <c r="I100" i="23" s="1"/>
  <c r="I51" i="23" l="1"/>
  <c r="I55" i="23" s="1"/>
  <c r="I46" i="23"/>
  <c r="I106" i="23" l="1"/>
  <c r="I107" i="23" s="1"/>
  <c r="J28" i="23" s="1"/>
  <c r="I102" i="23" l="1"/>
  <c r="J29" i="23"/>
  <c r="J31" i="23" s="1"/>
  <c r="J45" i="23"/>
  <c r="J77" i="23" s="1"/>
  <c r="J33" i="23" l="1"/>
  <c r="J33" i="24"/>
  <c r="J34" i="24" s="1"/>
  <c r="J105" i="23"/>
  <c r="J51" i="23" s="1"/>
  <c r="J55" i="23" s="1"/>
  <c r="J78" i="23"/>
  <c r="J80" i="23" s="1"/>
  <c r="J100" i="23" s="1"/>
  <c r="J42" i="23" l="1"/>
  <c r="J106" i="23" l="1"/>
  <c r="J107" i="23" s="1"/>
  <c r="K28" i="23" s="1"/>
  <c r="J46" i="23"/>
  <c r="J102" i="23"/>
  <c r="K45" i="23" l="1"/>
  <c r="K77" i="23" s="1"/>
  <c r="K29" i="23"/>
  <c r="K31" i="23" s="1"/>
  <c r="K33" i="23" l="1"/>
  <c r="K33" i="24"/>
  <c r="K34" i="24" s="1"/>
  <c r="K105" i="23"/>
  <c r="K42" i="23" s="1"/>
  <c r="K78" i="23"/>
  <c r="K80" i="23" s="1"/>
  <c r="K100" i="23" s="1"/>
  <c r="K51" i="23" l="1"/>
  <c r="K55" i="23" s="1"/>
  <c r="K46" i="23"/>
  <c r="K106" i="23" l="1"/>
  <c r="K107" i="23" s="1"/>
  <c r="L28" i="23" s="1"/>
  <c r="K102" i="23" l="1"/>
  <c r="L45" i="23"/>
  <c r="L77" i="23" s="1"/>
  <c r="L29" i="23"/>
  <c r="L31" i="23" s="1"/>
  <c r="L33" i="23" l="1"/>
  <c r="L33" i="24"/>
  <c r="L34" i="24" s="1"/>
  <c r="L105" i="23"/>
  <c r="L51" i="23" s="1"/>
  <c r="L55" i="23" s="1"/>
  <c r="L78" i="23"/>
  <c r="L80" i="23" s="1"/>
  <c r="L100" i="23" s="1"/>
  <c r="L42" i="23" l="1"/>
  <c r="L46" i="23" s="1"/>
  <c r="L106" i="23" l="1"/>
  <c r="L107" i="23" s="1"/>
  <c r="L102" i="23" l="1"/>
</calcChain>
</file>

<file path=xl/sharedStrings.xml><?xml version="1.0" encoding="utf-8"?>
<sst xmlns="http://schemas.openxmlformats.org/spreadsheetml/2006/main" count="665" uniqueCount="391">
  <si>
    <t>Revenues</t>
  </si>
  <si>
    <t xml:space="preserve">   Distribution</t>
  </si>
  <si>
    <t xml:space="preserve">   Transmission</t>
  </si>
  <si>
    <t xml:space="preserve">   Other</t>
  </si>
  <si>
    <t>Costs</t>
  </si>
  <si>
    <t xml:space="preserve">   DDA</t>
  </si>
  <si>
    <t>EBITDA</t>
  </si>
  <si>
    <t>EBIT</t>
  </si>
  <si>
    <t>Interest</t>
  </si>
  <si>
    <t>EBT</t>
  </si>
  <si>
    <t>Net Income</t>
  </si>
  <si>
    <t>Taxes</t>
  </si>
  <si>
    <t>EPS</t>
  </si>
  <si>
    <t>DPS</t>
  </si>
  <si>
    <t>Income</t>
  </si>
  <si>
    <t xml:space="preserve">   Environmental</t>
  </si>
  <si>
    <t xml:space="preserve">   Regulatory</t>
  </si>
  <si>
    <t xml:space="preserve">   Tax</t>
  </si>
  <si>
    <t>Operating</t>
  </si>
  <si>
    <t xml:space="preserve">   Debt</t>
  </si>
  <si>
    <t xml:space="preserve">   Dividends</t>
  </si>
  <si>
    <t>Financing</t>
  </si>
  <si>
    <t xml:space="preserve">   Capital</t>
  </si>
  <si>
    <t>Investing</t>
  </si>
  <si>
    <t>Change</t>
  </si>
  <si>
    <t>Start</t>
  </si>
  <si>
    <t>Cash End</t>
  </si>
  <si>
    <t>Cash</t>
  </si>
  <si>
    <t>Assets</t>
  </si>
  <si>
    <t xml:space="preserve">   Cash</t>
  </si>
  <si>
    <t xml:space="preserve">   Receivables</t>
  </si>
  <si>
    <t xml:space="preserve">   Investment</t>
  </si>
  <si>
    <t>Current Assets</t>
  </si>
  <si>
    <t xml:space="preserve">   PPE - Gross</t>
  </si>
  <si>
    <t xml:space="preserve">   PPE - Net</t>
  </si>
  <si>
    <t xml:space="preserve">   Construction</t>
  </si>
  <si>
    <t xml:space="preserve">PPE </t>
  </si>
  <si>
    <t>Total Assets</t>
  </si>
  <si>
    <t>Liabilities</t>
  </si>
  <si>
    <t xml:space="preserve">   Interest</t>
  </si>
  <si>
    <t>Current</t>
  </si>
  <si>
    <t xml:space="preserve">   Benefits</t>
  </si>
  <si>
    <t xml:space="preserve">   Pension</t>
  </si>
  <si>
    <t>Total Liabilities</t>
  </si>
  <si>
    <t xml:space="preserve">   Preferred</t>
  </si>
  <si>
    <t xml:space="preserve">   Common</t>
  </si>
  <si>
    <t xml:space="preserve">   Retained Earnings</t>
  </si>
  <si>
    <t xml:space="preserve">   AOCI</t>
  </si>
  <si>
    <t>Equity</t>
  </si>
  <si>
    <t>Total L &amp; E</t>
  </si>
  <si>
    <t>Check</t>
  </si>
  <si>
    <t>Capital</t>
  </si>
  <si>
    <t>Transmission</t>
  </si>
  <si>
    <t xml:space="preserve">   PPE</t>
  </si>
  <si>
    <t>Distribution</t>
  </si>
  <si>
    <t>Other</t>
  </si>
  <si>
    <t>Tax</t>
  </si>
  <si>
    <t>Debt</t>
  </si>
  <si>
    <t xml:space="preserve">   Capitalized</t>
  </si>
  <si>
    <t xml:space="preserve">   Swaps</t>
  </si>
  <si>
    <t xml:space="preserve">   Current</t>
  </si>
  <si>
    <t xml:space="preserve">   Deferred</t>
  </si>
  <si>
    <t>Provision</t>
  </si>
  <si>
    <t xml:space="preserve">   CCA</t>
  </si>
  <si>
    <t xml:space="preserve">   Overhead</t>
  </si>
  <si>
    <t xml:space="preserve">   Adjujstments</t>
  </si>
  <si>
    <t xml:space="preserve">   Invest. Credit</t>
  </si>
  <si>
    <t xml:space="preserve">   Benefit</t>
  </si>
  <si>
    <t>Effective</t>
  </si>
  <si>
    <t>Shares (mln)</t>
  </si>
  <si>
    <t>Purchased Power</t>
  </si>
  <si>
    <t>OMA</t>
  </si>
  <si>
    <t>DDA</t>
  </si>
  <si>
    <t>Capital Investment</t>
  </si>
  <si>
    <t xml:space="preserve">   NWC</t>
  </si>
  <si>
    <t>Q1-14</t>
  </si>
  <si>
    <t>Q2-14</t>
  </si>
  <si>
    <t>Q3-14</t>
  </si>
  <si>
    <t>Q4-14</t>
  </si>
  <si>
    <t>Q1-15</t>
  </si>
  <si>
    <t xml:space="preserve">   Intangibles</t>
  </si>
  <si>
    <t xml:space="preserve">   Accruals</t>
  </si>
  <si>
    <t>Financials</t>
  </si>
  <si>
    <t>Q2-15</t>
  </si>
  <si>
    <t>Q3-15</t>
  </si>
  <si>
    <t>Q4-15</t>
  </si>
  <si>
    <t>Forecast</t>
  </si>
  <si>
    <t>Revenue Growth</t>
  </si>
  <si>
    <t>FWD</t>
  </si>
  <si>
    <t>HIST</t>
  </si>
  <si>
    <t xml:space="preserve">   Financing</t>
  </si>
  <si>
    <t xml:space="preserve">   Total Debt</t>
  </si>
  <si>
    <t xml:space="preserve">   Statutory</t>
  </si>
  <si>
    <t xml:space="preserve">   Effective</t>
  </si>
  <si>
    <t>Payout Ratio</t>
  </si>
  <si>
    <t>Capital Allocation</t>
  </si>
  <si>
    <t>Growth</t>
  </si>
  <si>
    <t>Working Capital</t>
  </si>
  <si>
    <t>Capital Balance</t>
  </si>
  <si>
    <t xml:space="preserve">   Line 1</t>
  </si>
  <si>
    <t xml:space="preserve">   Line 2</t>
  </si>
  <si>
    <t>Line 3</t>
  </si>
  <si>
    <t>Free Cash Flow</t>
  </si>
  <si>
    <t xml:space="preserve">   Equity</t>
  </si>
  <si>
    <t xml:space="preserve">   Firm</t>
  </si>
  <si>
    <t>Leverage</t>
  </si>
  <si>
    <t xml:space="preserve">   EBIT Coverage</t>
  </si>
  <si>
    <t>Returns</t>
  </si>
  <si>
    <t xml:space="preserve">   Assets</t>
  </si>
  <si>
    <t xml:space="preserve">   Debt to Capital</t>
  </si>
  <si>
    <t>Valuation</t>
  </si>
  <si>
    <t xml:space="preserve">   Income</t>
  </si>
  <si>
    <t>Time</t>
  </si>
  <si>
    <t>Term.</t>
  </si>
  <si>
    <t>Equity Value</t>
  </si>
  <si>
    <t>Capital Intensity</t>
  </si>
  <si>
    <t xml:space="preserve">   To Sales</t>
  </si>
  <si>
    <t>Total</t>
  </si>
  <si>
    <t>Yield</t>
  </si>
  <si>
    <t>Hydro One</t>
  </si>
  <si>
    <t xml:space="preserve">   Emera</t>
  </si>
  <si>
    <t xml:space="preserve">   Fortis</t>
  </si>
  <si>
    <t xml:space="preserve">   First Energy</t>
  </si>
  <si>
    <t xml:space="preserve">   Eversource</t>
  </si>
  <si>
    <t>Emera</t>
  </si>
  <si>
    <t xml:space="preserve">   Revenue</t>
  </si>
  <si>
    <t xml:space="preserve">   EBITDA</t>
  </si>
  <si>
    <t xml:space="preserve">   Dividend</t>
  </si>
  <si>
    <t>PB</t>
  </si>
  <si>
    <t>ROE</t>
  </si>
  <si>
    <t>ROA</t>
  </si>
  <si>
    <t xml:space="preserve">   Shares</t>
  </si>
  <si>
    <t xml:space="preserve">   Price</t>
  </si>
  <si>
    <t>Fortis</t>
  </si>
  <si>
    <t>First Energy</t>
  </si>
  <si>
    <t>Eversource</t>
  </si>
  <si>
    <t>Average</t>
  </si>
  <si>
    <t>Revenue G.</t>
  </si>
  <si>
    <t>Income G.</t>
  </si>
  <si>
    <t>CAGR</t>
  </si>
  <si>
    <t>PE</t>
  </si>
  <si>
    <t xml:space="preserve">   Earnings</t>
  </si>
  <si>
    <t>Beta</t>
  </si>
  <si>
    <t xml:space="preserve">   PE</t>
  </si>
  <si>
    <t xml:space="preserve">   PB</t>
  </si>
  <si>
    <t>Multiple Approach</t>
  </si>
  <si>
    <t>Peer Multiples</t>
  </si>
  <si>
    <t>Multiple Valuation</t>
  </si>
  <si>
    <t>Multiple Weighting</t>
  </si>
  <si>
    <t>Fair Market Value</t>
  </si>
  <si>
    <t>Monetization</t>
  </si>
  <si>
    <t>IPO Discount</t>
  </si>
  <si>
    <t>Divestiture</t>
  </si>
  <si>
    <t xml:space="preserve">   Fair Value</t>
  </si>
  <si>
    <t xml:space="preserve">   Stock Return</t>
  </si>
  <si>
    <t xml:space="preserve">   Cumulative</t>
  </si>
  <si>
    <t>Net Proceeds</t>
  </si>
  <si>
    <t>Gross Proceeds</t>
  </si>
  <si>
    <t>CCA Rate</t>
  </si>
  <si>
    <t>Unfunded Liability</t>
  </si>
  <si>
    <t xml:space="preserve">   Add: Net Income</t>
  </si>
  <si>
    <t>DDA - Gross</t>
  </si>
  <si>
    <t>DDA - Net</t>
  </si>
  <si>
    <t>Revenue</t>
  </si>
  <si>
    <t xml:space="preserve">   Less: Dividends</t>
  </si>
  <si>
    <t xml:space="preserve">   Book Value End</t>
  </si>
  <si>
    <t xml:space="preserve">   Book Value Start</t>
  </si>
  <si>
    <t xml:space="preserve">   Less: Divestiture</t>
  </si>
  <si>
    <t xml:space="preserve">   Annual</t>
  </si>
  <si>
    <t>Equity Book Value</t>
  </si>
  <si>
    <t>EBTD</t>
  </si>
  <si>
    <t>Assumptions</t>
  </si>
  <si>
    <t>Tax Rate</t>
  </si>
  <si>
    <t>Effective Rate</t>
  </si>
  <si>
    <t>Provincial Portion</t>
  </si>
  <si>
    <t>Terminal Growth</t>
  </si>
  <si>
    <t xml:space="preserve">   EBTD</t>
  </si>
  <si>
    <t xml:space="preserve">   Capital Spending</t>
  </si>
  <si>
    <t xml:space="preserve">   Tax Deductions</t>
  </si>
  <si>
    <t xml:space="preserve">   UCC - Start</t>
  </si>
  <si>
    <t xml:space="preserve">      Halved</t>
  </si>
  <si>
    <t xml:space="preserve">   CCA Deduction</t>
  </si>
  <si>
    <t xml:space="preserve">   UCC - End</t>
  </si>
  <si>
    <t>CCA Deductions</t>
  </si>
  <si>
    <t xml:space="preserve">   Calculated</t>
  </si>
  <si>
    <t xml:space="preserve">   Used</t>
  </si>
  <si>
    <t>Total Available</t>
  </si>
  <si>
    <t xml:space="preserve">   Build (Draw)</t>
  </si>
  <si>
    <t xml:space="preserve">   Less: CCA Deduction</t>
  </si>
  <si>
    <t xml:space="preserve">   Less: Other Deductions</t>
  </si>
  <si>
    <t xml:space="preserve">   Taxes Paid</t>
  </si>
  <si>
    <t xml:space="preserve">   Provincial Portion</t>
  </si>
  <si>
    <t>Effective Tax Rate</t>
  </si>
  <si>
    <t xml:space="preserve">   Corporations Tax</t>
  </si>
  <si>
    <t xml:space="preserve">   Debt Retirement Charge</t>
  </si>
  <si>
    <t>Expenses</t>
  </si>
  <si>
    <t xml:space="preserve">   OEFC Debt</t>
  </si>
  <si>
    <t>Net Debt</t>
  </si>
  <si>
    <t>Departure Tax</t>
  </si>
  <si>
    <t>OEFC Debt</t>
  </si>
  <si>
    <t>Surplus / Deficit</t>
  </si>
  <si>
    <t>Prov. Minimum</t>
  </si>
  <si>
    <t>Estimated.</t>
  </si>
  <si>
    <t>Brmptn</t>
  </si>
  <si>
    <t>Recap</t>
  </si>
  <si>
    <t>TTM</t>
  </si>
  <si>
    <t>Avg</t>
  </si>
  <si>
    <t xml:space="preserve">   Hydro One</t>
  </si>
  <si>
    <t>Debt / Equity</t>
  </si>
  <si>
    <t xml:space="preserve">   Gain on Sale</t>
  </si>
  <si>
    <t xml:space="preserve">   Electricity PILS</t>
  </si>
  <si>
    <t>LT Growth</t>
  </si>
  <si>
    <t xml:space="preserve">   Departure PIL</t>
  </si>
  <si>
    <t xml:space="preserve">   Hydro One Income</t>
  </si>
  <si>
    <t>Cumulative Divestiture</t>
  </si>
  <si>
    <t xml:space="preserve">   Purchase of Shares</t>
  </si>
  <si>
    <t>Inflows</t>
  </si>
  <si>
    <t xml:space="preserve">   Hydro One Dividend</t>
  </si>
  <si>
    <t>Outflows</t>
  </si>
  <si>
    <t xml:space="preserve">   Less: Deductions*</t>
  </si>
  <si>
    <t>Residual Debt</t>
  </si>
  <si>
    <t>Net Cash</t>
  </si>
  <si>
    <t>Debt Interest Rate</t>
  </si>
  <si>
    <t>Base Case Residual</t>
  </si>
  <si>
    <t xml:space="preserve">   Net Impact</t>
  </si>
  <si>
    <t>Deductions</t>
  </si>
  <si>
    <t>Due from Province</t>
  </si>
  <si>
    <t xml:space="preserve">   Hydro One Portion</t>
  </si>
  <si>
    <t>Notes Receivable</t>
  </si>
  <si>
    <t>New Investment</t>
  </si>
  <si>
    <t xml:space="preserve">   PILS</t>
  </si>
  <si>
    <t xml:space="preserve">   ESDI</t>
  </si>
  <si>
    <t xml:space="preserve">   Unfunded Liability</t>
  </si>
  <si>
    <t xml:space="preserve">   Residual Debt</t>
  </si>
  <si>
    <t>NPV of Income</t>
  </si>
  <si>
    <t>Implied Rate</t>
  </si>
  <si>
    <t>Hydro Income</t>
  </si>
  <si>
    <t xml:space="preserve">   Less: Interest Cost</t>
  </si>
  <si>
    <t>Hydro ESDI</t>
  </si>
  <si>
    <t xml:space="preserve">   Divided: Rate</t>
  </si>
  <si>
    <t>Hydro PILs</t>
  </si>
  <si>
    <t xml:space="preserve">   Add: Lost PILS</t>
  </si>
  <si>
    <t>FMV Equity</t>
  </si>
  <si>
    <t>Tax Savings</t>
  </si>
  <si>
    <t xml:space="preserve">   Taxes Before Sale</t>
  </si>
  <si>
    <t xml:space="preserve">   Taxes After Sale</t>
  </si>
  <si>
    <t>Trillum</t>
  </si>
  <si>
    <t xml:space="preserve">   Less: BV of Equity</t>
  </si>
  <si>
    <t xml:space="preserve">Lost Income </t>
  </si>
  <si>
    <t xml:space="preserve">Foregone PILS </t>
  </si>
  <si>
    <t>High Valuation</t>
  </si>
  <si>
    <t>Debt Retirement Charge</t>
  </si>
  <si>
    <t>Recapitalization</t>
  </si>
  <si>
    <t>Options</t>
  </si>
  <si>
    <t xml:space="preserve">   Hydro Tax Gain</t>
  </si>
  <si>
    <t xml:space="preserve">   Hydro Departure Tax</t>
  </si>
  <si>
    <t xml:space="preserve">   Prov. Debt Issuance</t>
  </si>
  <si>
    <t xml:space="preserve">   Prov. Debt Repayment</t>
  </si>
  <si>
    <t>Cash Balance</t>
  </si>
  <si>
    <t>Due to OEFC</t>
  </si>
  <si>
    <t>Cash Remaining</t>
  </si>
  <si>
    <t>OEFC Debt Remission</t>
  </si>
  <si>
    <t>Debt Repayment</t>
  </si>
  <si>
    <t>Trillium Allocation</t>
  </si>
  <si>
    <t>Debt Impact</t>
  </si>
  <si>
    <t>FMV Debt</t>
  </si>
  <si>
    <t>FMV of PPE</t>
  </si>
  <si>
    <t>FMV of Depreciable Assets</t>
  </si>
  <si>
    <t>Low</t>
  </si>
  <si>
    <t>High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</si>
  <si>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</si>
  <si>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</si>
  <si>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</si>
  <si>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</si>
  <si>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</si>
  <si>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</si>
  <si>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</si>
  <si>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</si>
  <si>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</si>
  <si>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</si>
  <si>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BV of Other Assets</t>
  </si>
  <si>
    <t>BV Other Liabilities</t>
  </si>
  <si>
    <t>FMV of Total Assets</t>
  </si>
  <si>
    <t>Difference</t>
  </si>
  <si>
    <t>Dedicated Income</t>
  </si>
  <si>
    <t>Hydro 2014</t>
  </si>
  <si>
    <t>Hydro 2015</t>
  </si>
  <si>
    <t>Cost of Investment</t>
  </si>
  <si>
    <t>Total Deductions</t>
  </si>
  <si>
    <t>Portion Sold</t>
  </si>
  <si>
    <t>Deductions 2015</t>
  </si>
  <si>
    <t xml:space="preserve">   Portion Sold</t>
  </si>
  <si>
    <t>Foregone Income</t>
  </si>
  <si>
    <t>Additions 2015</t>
  </si>
  <si>
    <t>RSD Impact</t>
  </si>
  <si>
    <t xml:space="preserve">   Less: Deductions</t>
  </si>
  <si>
    <t>Proceed Deductions</t>
  </si>
  <si>
    <t>Foregone NPV of Income</t>
  </si>
  <si>
    <t xml:space="preserve">   Less: NPV Income</t>
  </si>
  <si>
    <t xml:space="preserve">   Add: Departure Tax</t>
  </si>
  <si>
    <t>RSD Growth</t>
  </si>
  <si>
    <t>Years</t>
  </si>
  <si>
    <t xml:space="preserve">   Less: IPO Costs</t>
  </si>
  <si>
    <t>RSD Net Impact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</si>
  <si>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</si>
  <si>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</si>
  <si>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</si>
  <si>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</si>
  <si>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</si>
  <si>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</si>
  <si>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</si>
  <si>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</si>
  <si>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</si>
  <si>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2010-11</t>
  </si>
  <si>
    <t>2011-12</t>
  </si>
  <si>
    <t>2012-13</t>
  </si>
  <si>
    <t>2013-14</t>
  </si>
  <si>
    <t>1999-00</t>
  </si>
  <si>
    <t>2009-10</t>
  </si>
  <si>
    <t>RSD Base Case</t>
  </si>
  <si>
    <t>Annual Reduction</t>
  </si>
  <si>
    <t>Reductions to Date</t>
  </si>
  <si>
    <t>Beginning RSD</t>
  </si>
  <si>
    <t>RSD on Nov 1 2015</t>
  </si>
  <si>
    <t xml:space="preserve">   Add: Lost Income</t>
  </si>
  <si>
    <t xml:space="preserve">   Less: Tax Asset</t>
  </si>
  <si>
    <t xml:space="preserve">   Book Value End Adj.</t>
  </si>
  <si>
    <t xml:space="preserve">   Add: Brampton</t>
  </si>
  <si>
    <t>Current RSD Estimate</t>
  </si>
  <si>
    <t>Net Income Growth</t>
  </si>
  <si>
    <t xml:space="preserve">   Add: New PIL</t>
  </si>
  <si>
    <t>RSD 2018</t>
  </si>
  <si>
    <t xml:space="preserve">   New PIL</t>
  </si>
  <si>
    <t xml:space="preserve">      Departure Tax</t>
  </si>
  <si>
    <t xml:space="preserve">      Sale Proceeds</t>
  </si>
  <si>
    <t xml:space="preserve">      New PIL</t>
  </si>
  <si>
    <t xml:space="preserve">      Special Dividend</t>
  </si>
  <si>
    <t xml:space="preserve">      New Investment</t>
  </si>
  <si>
    <t xml:space="preserve">   Provincial Debt</t>
  </si>
  <si>
    <t xml:space="preserve">      Tax Asset</t>
  </si>
  <si>
    <t xml:space="preserve">      Recapitalization</t>
  </si>
  <si>
    <t>Investment in GBE's</t>
  </si>
  <si>
    <t xml:space="preserve">      Net Income</t>
  </si>
  <si>
    <t xml:space="preserve">      Dividends</t>
  </si>
  <si>
    <t xml:space="preserve">   Hydro One Growth</t>
  </si>
  <si>
    <t xml:space="preserve">   Sold Growth</t>
  </si>
  <si>
    <t xml:space="preserve">   One-Time Impacts</t>
  </si>
  <si>
    <t xml:space="preserve">   Ongoing Impacts</t>
  </si>
  <si>
    <t xml:space="preserve">      Sold Book Value</t>
  </si>
  <si>
    <t xml:space="preserve">      Impact to Retained Earnings</t>
  </si>
  <si>
    <t xml:space="preserve">   Proportional Decrease from Sale</t>
  </si>
  <si>
    <t xml:space="preserve">      Hydro One Dividends - Ongoing</t>
  </si>
  <si>
    <t xml:space="preserve">      Hydro One Dividends - Impact from Sale</t>
  </si>
  <si>
    <t xml:space="preserve">      Electricity PILS</t>
  </si>
  <si>
    <t xml:space="preserve">      Debt Retirement Charge</t>
  </si>
  <si>
    <t xml:space="preserve">      Interest Savings*</t>
  </si>
  <si>
    <t>Check:</t>
  </si>
  <si>
    <t>Hydro 2015 Income</t>
  </si>
  <si>
    <t xml:space="preserve">   Retained</t>
  </si>
  <si>
    <t xml:space="preserve">   Foregone</t>
  </si>
  <si>
    <t>Net Dividend Impact (Cash)</t>
  </si>
  <si>
    <t xml:space="preserve">   Investment Asset</t>
  </si>
  <si>
    <t>After Full Targeted Divestiture</t>
  </si>
  <si>
    <t>Including Divesiture Profile</t>
  </si>
  <si>
    <t>Divestiture Impacts</t>
  </si>
  <si>
    <t>Build / Draw Profile</t>
  </si>
  <si>
    <t>This Excel workbook contains relevant data used to prepare the FAO’s report,</t>
  </si>
  <si>
    <t>"An Assessment of the Financial Impact of the Partial Sale of Hydro One"</t>
  </si>
  <si>
    <t>The following are links to key estimates in the model:</t>
  </si>
  <si>
    <t xml:space="preserve">       Market Value of Hydro One - High</t>
  </si>
  <si>
    <t xml:space="preserve">       Market Value of Hydro One - Low</t>
  </si>
  <si>
    <t xml:space="preserve">       Gain on Sale*</t>
  </si>
  <si>
    <t xml:space="preserve">       Gain on Deferred Tax Asset*</t>
  </si>
  <si>
    <t xml:space="preserve">       Gross Sale Proceeds*</t>
  </si>
  <si>
    <t xml:space="preserve">   Amount Credited to Trillium Trust*</t>
  </si>
  <si>
    <t>Annual</t>
  </si>
  <si>
    <t>Cumulative</t>
  </si>
  <si>
    <t>Impact to Budget Balance*</t>
  </si>
  <si>
    <t>To re-produce the four different estimated financial impact scenarios as identified in the report:</t>
  </si>
  <si>
    <t>(Millions of Canadian dollars)</t>
  </si>
  <si>
    <t>For the high valuation scenario, enter 1, for low valuation, enter 0:</t>
  </si>
  <si>
    <t>Change the valuation as per above, and enter 1 for forgone DRC revenue, 0 for retained DRC revenue</t>
  </si>
  <si>
    <t>*Subject to change bsaed on high / low valuation scenarios</t>
  </si>
  <si>
    <r>
      <t xml:space="preserve">   </t>
    </r>
    <r>
      <rPr>
        <sz val="9"/>
        <color theme="1"/>
        <rFont val="Helvetica Neue Light"/>
      </rPr>
      <t>Gross Proceeds</t>
    </r>
  </si>
  <si>
    <r>
      <t xml:space="preserve">The </t>
    </r>
    <r>
      <rPr>
        <b/>
        <sz val="9"/>
        <color theme="4"/>
        <rFont val="Helvetica Neue Light"/>
      </rPr>
      <t>Province</t>
    </r>
    <r>
      <rPr>
        <sz val="9"/>
        <color theme="1"/>
        <rFont val="Helvetica Neue Light"/>
      </rPr>
      <t xml:space="preserve"> tab summarizes the estimated financial impact to the budget balance and net debt position.</t>
    </r>
  </si>
  <si>
    <r>
      <t xml:space="preserve">The </t>
    </r>
    <r>
      <rPr>
        <b/>
        <sz val="9"/>
        <color theme="4"/>
        <rFont val="Helvetica Neue Light"/>
      </rPr>
      <t>Hydro</t>
    </r>
    <r>
      <rPr>
        <sz val="9"/>
        <color theme="1"/>
        <rFont val="Helvetica Neue Light"/>
      </rPr>
      <t xml:space="preserve"> tab includes financial information for Hydro One.</t>
    </r>
  </si>
  <si>
    <r>
      <t xml:space="preserve">The </t>
    </r>
    <r>
      <rPr>
        <b/>
        <sz val="9"/>
        <color theme="4"/>
        <rFont val="Helvetica Neue Light"/>
      </rPr>
      <t>Valuation</t>
    </r>
    <r>
      <rPr>
        <sz val="9"/>
        <color theme="1"/>
        <rFont val="Helvetica Neue Light"/>
      </rPr>
      <t xml:space="preserve"> tab summarizes the estimated fair market value of Hydro One.</t>
    </r>
  </si>
  <si>
    <r>
      <t xml:space="preserve">The </t>
    </r>
    <r>
      <rPr>
        <b/>
        <sz val="9"/>
        <color theme="4"/>
        <rFont val="Helvetica Neue Light"/>
      </rPr>
      <t>Tax</t>
    </r>
    <r>
      <rPr>
        <sz val="9"/>
        <color theme="1"/>
        <rFont val="Helvetica Neue Light"/>
      </rPr>
      <t xml:space="preserve"> tab includes estimates for Hydro One’s deferred tax asset and future tax payments.</t>
    </r>
  </si>
  <si>
    <r>
      <t xml:space="preserve">   </t>
    </r>
    <r>
      <rPr>
        <sz val="9"/>
        <color theme="1"/>
        <rFont val="Helvetica Neue Light"/>
      </rPr>
      <t>Overall</t>
    </r>
  </si>
  <si>
    <t>RSD 2014-15</t>
  </si>
  <si>
    <t>Years: 15 to 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</si>
</sst>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(* #,##0.00_);_(* \(#,##0.00\);_(* &quot;-&quot;??_);_(@_)"/>
    <numFmt numFmtId="164" formatCode="0_);[Red]\(0\)"/>
    <numFmt numFmtId="165" formatCode="0.0%"/>
    <numFmt numFmtId="166" formatCode="0_);\(0\)"/>
    <numFmt numFmtId="167" formatCode="0.0\x"/>
    <numFmt numFmtId="168" formatCode="0.00\x"/>
    <numFmt numFmtId="169" formatCode="0.0"/>
    <numFmt numFmtId="170" formatCode="#,##0.0_);[Red]\(#,##0.0\)"/>
    <numFmt numFmtId="171" formatCode="0.0_);[Red]\(0.0\)"/>
    <numFmt numFmtId="172" formatCode="#,##0.0_);\(#,##0.0\)"/>
    <numFmt numFmtId="173" formatCode="0.00_);[Red]\(0.00\)"/>
    <numFmt numFmtId="174" formatCode="_-* #,##0.00_-;\-* #,##0.00_-;_-* &quot;-&quot;??_-;_-@_-"/>
    <numFmt numFmtId="175" formatCode="\+#,##0.00_);\-#,##0.00"/>
    <numFmt numFmtId="176" formatCode="0.0_)"/>
  </numFmts>
  <fonts count="29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Helvetica Neue Light"/>
    </font>
    <font>
      <sz val="9"/>
      <color theme="0"/>
      <name val="Helvetica Neue Light"/>
    </font>
    <font>
      <sz val="9"/>
      <color theme="1"/>
      <name val="Helvetica Neue Light"/>
    </font>
    <font>
      <b/>
      <sz val="9"/>
      <color theme="1"/>
      <name val="Helvetica Neue Light"/>
    </font>
    <font>
      <sz val="9"/>
      <color theme="3"/>
      <name val="Helvetica Neue Light"/>
    </font>
    <font>
      <b/>
      <sz val="9"/>
      <color theme="3"/>
      <name val="Helvetica Neue Light"/>
    </font>
    <font>
      <i/>
      <sz val="9"/>
      <color theme="1"/>
      <name val="Helvetica Neue Light"/>
    </font>
    <font>
      <u/>
      <sz val="9"/>
      <color theme="10"/>
      <name val="Helvetica Neue Light"/>
    </font>
    <font>
      <b/>
      <sz val="9"/>
      <color theme="4"/>
      <name val="Helvetica Neue Light"/>
    </font>
    <font>
      <sz val="9"/>
      <name val="Arial MT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b/>
      <sz val="14"/>
      <name val="Helvetica"/>
      <family val="2"/>
    </font>
    <font>
      <b/>
      <sz val="12"/>
      <name val="Helv"/>
      <family val="2"/>
    </font>
    <font>
      <sz val="20"/>
      <color theme="4"/>
      <name val="Helvetica"/>
      <family val="2"/>
    </font>
    <font>
      <b/>
      <sz val="9"/>
      <name val="Helvetica"/>
      <family val="2"/>
    </font>
    <font>
      <b/>
      <sz val="11"/>
      <name val="Helv"/>
    </font>
    <font>
      <sz val="18"/>
      <color theme="3"/>
      <name val="Cambria"/>
      <family val="2"/>
      <scheme val="major"/>
    </font>
    <font>
      <sz val="24"/>
      <color theme="5"/>
      <name val="Helvetica"/>
      <family val="2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gray0625">
        <bgColor theme="0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/>
      <bottom style="dotted">
        <color auto="1"/>
      </bottom>
      <diagonal/>
    </border>
    <border>
      <left/>
      <right style="hair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dotted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hair">
        <color auto="1"/>
      </bottom>
      <diagonal/>
    </border>
    <border>
      <left/>
      <right style="dotted">
        <color auto="1"/>
      </right>
      <top/>
      <bottom style="hair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</borders>
  <cellStyleXfs count="41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Alignment="0" applyProtection="0"/>
    <xf numFmtId="0" fontId="7" fillId="8" borderId="0" applyNumberFormat="0" applyBorder="0" applyAlignment="0" applyProtection="0"/>
    <xf numFmtId="0" fontId="2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3" fontId="17" fillId="0" borderId="0" applyBorder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20" fillId="0" borderId="0" applyFont="0" applyFill="0" applyBorder="0" applyAlignment="0" applyProtection="0"/>
    <xf numFmtId="175" fontId="21" fillId="0" borderId="0" applyFill="0" applyBorder="0" applyProtection="0">
      <alignment vertical="top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 applyFont="0" applyAlignment="0">
      <alignment horizontal="left" vertical="top"/>
    </xf>
    <xf numFmtId="0" fontId="19" fillId="0" borderId="0" applyFont="0" applyAlignment="0">
      <alignment horizontal="left" vertical="top"/>
    </xf>
    <xf numFmtId="0" fontId="20" fillId="0" borderId="0"/>
    <xf numFmtId="0" fontId="19" fillId="0" borderId="0"/>
    <xf numFmtId="176" fontId="19" fillId="0" borderId="0"/>
    <xf numFmtId="176" fontId="19" fillId="0" borderId="0"/>
    <xf numFmtId="0" fontId="18" fillId="0" borderId="0"/>
    <xf numFmtId="0" fontId="1" fillId="0" borderId="0"/>
    <xf numFmtId="3" fontId="17" fillId="0" borderId="45" applyBorder="0"/>
    <xf numFmtId="3" fontId="22" fillId="0" borderId="0">
      <alignment horizontal="left"/>
    </xf>
    <xf numFmtId="37" fontId="23" fillId="0" borderId="46" applyNumberFormat="0" applyFill="0" applyBorder="0">
      <alignment horizontal="left"/>
    </xf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" fontId="25" fillId="0" borderId="0" applyBorder="0"/>
    <xf numFmtId="1" fontId="26" fillId="0" borderId="0">
      <alignment horizontal="left"/>
    </xf>
    <xf numFmtId="0" fontId="28" fillId="0" borderId="0" applyNumberFormat="0" applyFill="0" applyBorder="0" applyAlignment="0" applyProtection="0"/>
  </cellStyleXfs>
  <cellXfs count="328">
    <xf numFmtId="0" fontId="0" fillId="0" borderId="0" xfId="0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5" borderId="0" xfId="0" applyFont="1" applyFill="1" applyAlignment="1">
      <alignment horizontal="left"/>
    </xf>
    <xf numFmtId="0" fontId="10" fillId="5" borderId="0" xfId="0" applyFont="1" applyFill="1" applyAlignment="1">
      <alignment horizontal="center"/>
    </xf>
    <xf numFmtId="38" fontId="10" fillId="0" borderId="0" xfId="0" applyNumberFormat="1" applyFont="1" applyAlignment="1">
      <alignment horizontal="center"/>
    </xf>
    <xf numFmtId="0" fontId="10" fillId="5" borderId="0" xfId="0" applyFont="1" applyFill="1" applyAlignment="1">
      <alignment horizontal="left"/>
    </xf>
    <xf numFmtId="164" fontId="10" fillId="5" borderId="0" xfId="0" applyNumberFormat="1" applyFont="1" applyFill="1" applyAlignment="1">
      <alignment horizontal="center"/>
    </xf>
    <xf numFmtId="165" fontId="12" fillId="5" borderId="0" xfId="0" applyNumberFormat="1" applyFont="1" applyFill="1" applyAlignment="1">
      <alignment horizontal="center"/>
    </xf>
    <xf numFmtId="164" fontId="12" fillId="5" borderId="0" xfId="0" applyNumberFormat="1" applyFont="1" applyFill="1" applyAlignment="1">
      <alignment horizontal="center"/>
    </xf>
    <xf numFmtId="9" fontId="10" fillId="0" borderId="0" xfId="0" applyNumberFormat="1" applyFont="1" applyAlignment="1">
      <alignment horizontal="center"/>
    </xf>
    <xf numFmtId="9" fontId="10" fillId="0" borderId="0" xfId="0" applyNumberFormat="1" applyFont="1" applyAlignment="1">
      <alignment horizontal="left"/>
    </xf>
    <xf numFmtId="173" fontId="10" fillId="0" borderId="0" xfId="0" applyNumberFormat="1" applyFont="1" applyAlignment="1">
      <alignment horizontal="center"/>
    </xf>
    <xf numFmtId="0" fontId="10" fillId="7" borderId="0" xfId="0" applyFont="1" applyFill="1" applyAlignment="1">
      <alignment horizontal="left"/>
    </xf>
    <xf numFmtId="164" fontId="12" fillId="7" borderId="0" xfId="0" applyNumberFormat="1" applyFont="1" applyFill="1" applyAlignment="1">
      <alignment horizontal="center"/>
    </xf>
    <xf numFmtId="0" fontId="11" fillId="0" borderId="0" xfId="0" applyFont="1" applyAlignment="1">
      <alignment horizontal="left"/>
    </xf>
    <xf numFmtId="173" fontId="11" fillId="0" borderId="0" xfId="0" applyNumberFormat="1" applyFont="1" applyAlignment="1">
      <alignment horizontal="center"/>
    </xf>
    <xf numFmtId="38" fontId="11" fillId="0" borderId="0" xfId="0" applyNumberFormat="1" applyFont="1" applyAlignment="1">
      <alignment horizontal="center"/>
    </xf>
    <xf numFmtId="0" fontId="10" fillId="0" borderId="18" xfId="0" applyFont="1" applyBorder="1" applyAlignment="1">
      <alignment horizontal="center"/>
    </xf>
    <xf numFmtId="38" fontId="10" fillId="0" borderId="17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38" fontId="12" fillId="0" borderId="0" xfId="0" applyNumberFormat="1" applyFont="1" applyAlignment="1">
      <alignment horizontal="center"/>
    </xf>
    <xf numFmtId="38" fontId="10" fillId="0" borderId="0" xfId="0" applyNumberFormat="1" applyFont="1" applyBorder="1" applyAlignment="1">
      <alignment horizontal="center"/>
    </xf>
    <xf numFmtId="9" fontId="12" fillId="0" borderId="1" xfId="1" applyFont="1" applyBorder="1" applyAlignment="1">
      <alignment horizontal="center"/>
    </xf>
    <xf numFmtId="38" fontId="1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38" fontId="12" fillId="0" borderId="1" xfId="0" applyNumberFormat="1" applyFont="1" applyBorder="1" applyAlignment="1">
      <alignment horizontal="center"/>
    </xf>
    <xf numFmtId="38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9" fontId="10" fillId="0" borderId="0" xfId="1" applyFont="1" applyAlignment="1">
      <alignment horizontal="center"/>
    </xf>
    <xf numFmtId="38" fontId="11" fillId="0" borderId="6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37" fontId="12" fillId="0" borderId="0" xfId="0" applyNumberFormat="1" applyFont="1" applyAlignment="1">
      <alignment horizontal="center"/>
    </xf>
    <xf numFmtId="38" fontId="11" fillId="0" borderId="2" xfId="0" applyNumberFormat="1" applyFont="1" applyBorder="1" applyAlignment="1">
      <alignment horizontal="center"/>
    </xf>
    <xf numFmtId="37" fontId="10" fillId="0" borderId="0" xfId="0" applyNumberFormat="1" applyFont="1" applyAlignment="1">
      <alignment horizontal="center"/>
    </xf>
    <xf numFmtId="37" fontId="10" fillId="0" borderId="1" xfId="0" applyNumberFormat="1" applyFont="1" applyBorder="1" applyAlignment="1">
      <alignment horizontal="center"/>
    </xf>
    <xf numFmtId="172" fontId="10" fillId="0" borderId="0" xfId="0" applyNumberFormat="1" applyFont="1" applyAlignment="1">
      <alignment horizontal="center"/>
    </xf>
    <xf numFmtId="171" fontId="10" fillId="0" borderId="1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 horizontal="center"/>
    </xf>
    <xf numFmtId="165" fontId="10" fillId="0" borderId="0" xfId="1" applyNumberFormat="1" applyFont="1" applyAlignment="1">
      <alignment horizontal="center"/>
    </xf>
    <xf numFmtId="165" fontId="10" fillId="0" borderId="16" xfId="1" applyNumberFormat="1" applyFont="1" applyBorder="1" applyAlignment="1">
      <alignment horizontal="center"/>
    </xf>
    <xf numFmtId="165" fontId="10" fillId="0" borderId="18" xfId="1" applyNumberFormat="1" applyFont="1" applyBorder="1" applyAlignment="1">
      <alignment horizontal="center"/>
    </xf>
    <xf numFmtId="165" fontId="10" fillId="0" borderId="17" xfId="1" applyNumberFormat="1" applyFont="1" applyBorder="1" applyAlignment="1">
      <alignment horizontal="center"/>
    </xf>
    <xf numFmtId="165" fontId="11" fillId="0" borderId="19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26" xfId="0" applyFont="1" applyBorder="1" applyAlignment="1">
      <alignment horizontal="center"/>
    </xf>
    <xf numFmtId="37" fontId="13" fillId="0" borderId="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38" fontId="10" fillId="0" borderId="6" xfId="0" applyNumberFormat="1" applyFont="1" applyBorder="1" applyAlignment="1">
      <alignment horizontal="center"/>
    </xf>
    <xf numFmtId="0" fontId="10" fillId="0" borderId="26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1" fillId="0" borderId="23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38" fontId="10" fillId="0" borderId="12" xfId="0" applyNumberFormat="1" applyFont="1" applyBorder="1" applyAlignment="1">
      <alignment horizontal="center"/>
    </xf>
    <xf numFmtId="38" fontId="10" fillId="0" borderId="13" xfId="0" applyNumberFormat="1" applyFont="1" applyBorder="1" applyAlignment="1">
      <alignment horizontal="center"/>
    </xf>
    <xf numFmtId="0" fontId="14" fillId="0" borderId="23" xfId="0" applyFont="1" applyBorder="1" applyAlignment="1">
      <alignment horizontal="left"/>
    </xf>
    <xf numFmtId="0" fontId="10" fillId="0" borderId="38" xfId="0" applyFont="1" applyBorder="1" applyAlignment="1">
      <alignment horizontal="left"/>
    </xf>
    <xf numFmtId="0" fontId="10" fillId="0" borderId="39" xfId="0" applyFont="1" applyBorder="1" applyAlignment="1">
      <alignment horizontal="center"/>
    </xf>
    <xf numFmtId="0" fontId="10" fillId="5" borderId="5" xfId="0" applyFont="1" applyFill="1" applyBorder="1" applyAlignment="1"/>
    <xf numFmtId="0" fontId="10" fillId="5" borderId="6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0" fillId="5" borderId="8" xfId="0" applyFont="1" applyFill="1" applyBorder="1" applyAlignment="1"/>
    <xf numFmtId="0" fontId="10" fillId="5" borderId="0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0" borderId="8" xfId="0" applyFont="1" applyBorder="1" applyAlignment="1">
      <alignment vertical="center"/>
    </xf>
    <xf numFmtId="0" fontId="15" fillId="5" borderId="0" xfId="2" applyFont="1" applyFill="1" applyBorder="1" applyAlignment="1">
      <alignment horizontal="left"/>
    </xf>
    <xf numFmtId="0" fontId="10" fillId="0" borderId="8" xfId="0" applyFont="1" applyBorder="1" applyAlignment="1"/>
    <xf numFmtId="0" fontId="10" fillId="5" borderId="41" xfId="0" applyFont="1" applyFill="1" applyBorder="1" applyAlignment="1">
      <alignment vertical="center"/>
    </xf>
    <xf numFmtId="0" fontId="10" fillId="5" borderId="40" xfId="0" applyFont="1" applyFill="1" applyBorder="1" applyAlignment="1">
      <alignment horizontal="center"/>
    </xf>
    <xf numFmtId="0" fontId="10" fillId="5" borderId="42" xfId="0" applyFont="1" applyFill="1" applyBorder="1" applyAlignment="1">
      <alignment horizontal="center"/>
    </xf>
    <xf numFmtId="38" fontId="10" fillId="5" borderId="0" xfId="0" applyNumberFormat="1" applyFont="1" applyFill="1" applyBorder="1" applyAlignment="1">
      <alignment horizontal="center"/>
    </xf>
    <xf numFmtId="0" fontId="10" fillId="5" borderId="8" xfId="0" applyFont="1" applyFill="1" applyBorder="1" applyAlignment="1">
      <alignment horizontal="left"/>
    </xf>
    <xf numFmtId="38" fontId="10" fillId="5" borderId="1" xfId="0" applyNumberFormat="1" applyFont="1" applyFill="1" applyBorder="1" applyAlignment="1">
      <alignment horizontal="center"/>
    </xf>
    <xf numFmtId="38" fontId="10" fillId="5" borderId="9" xfId="0" applyNumberFormat="1" applyFont="1" applyFill="1" applyBorder="1" applyAlignment="1">
      <alignment horizontal="center"/>
    </xf>
    <xf numFmtId="0" fontId="10" fillId="5" borderId="43" xfId="0" applyFont="1" applyFill="1" applyBorder="1" applyAlignment="1"/>
    <xf numFmtId="0" fontId="10" fillId="5" borderId="3" xfId="0" applyFont="1" applyFill="1" applyBorder="1" applyAlignment="1">
      <alignment horizontal="center"/>
    </xf>
    <xf numFmtId="0" fontId="10" fillId="5" borderId="44" xfId="0" applyFont="1" applyFill="1" applyBorder="1" applyAlignment="1">
      <alignment horizontal="center"/>
    </xf>
    <xf numFmtId="0" fontId="10" fillId="5" borderId="10" xfId="0" applyFont="1" applyFill="1" applyBorder="1" applyAlignment="1"/>
    <xf numFmtId="0" fontId="10" fillId="5" borderId="1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0" xfId="0" applyFont="1" applyFill="1" applyAlignment="1"/>
    <xf numFmtId="38" fontId="10" fillId="0" borderId="0" xfId="0" applyNumberFormat="1" applyFont="1" applyAlignment="1">
      <alignment horizontal="left"/>
    </xf>
    <xf numFmtId="164" fontId="8" fillId="3" borderId="0" xfId="0" applyNumberFormat="1" applyFont="1" applyFill="1" applyBorder="1" applyAlignment="1">
      <alignment horizontal="center"/>
    </xf>
    <xf numFmtId="38" fontId="10" fillId="0" borderId="20" xfId="0" applyNumberFormat="1" applyFont="1" applyBorder="1" applyAlignment="1">
      <alignment horizontal="center"/>
    </xf>
    <xf numFmtId="38" fontId="11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center"/>
    </xf>
    <xf numFmtId="38" fontId="10" fillId="0" borderId="21" xfId="0" applyNumberFormat="1" applyFont="1" applyBorder="1" applyAlignment="1">
      <alignment horizontal="center"/>
    </xf>
    <xf numFmtId="38" fontId="12" fillId="0" borderId="13" xfId="0" applyNumberFormat="1" applyFont="1" applyBorder="1" applyAlignment="1">
      <alignment horizontal="center"/>
    </xf>
    <xf numFmtId="38" fontId="11" fillId="0" borderId="12" xfId="0" applyNumberFormat="1" applyFont="1" applyBorder="1" applyAlignment="1">
      <alignment horizontal="center"/>
    </xf>
    <xf numFmtId="38" fontId="11" fillId="0" borderId="20" xfId="0" applyNumberFormat="1" applyFont="1" applyBorder="1" applyAlignment="1">
      <alignment horizontal="center"/>
    </xf>
    <xf numFmtId="38" fontId="11" fillId="0" borderId="0" xfId="0" applyNumberFormat="1" applyFont="1" applyBorder="1" applyAlignment="1">
      <alignment horizontal="center"/>
    </xf>
    <xf numFmtId="38" fontId="12" fillId="0" borderId="12" xfId="0" applyNumberFormat="1" applyFont="1" applyBorder="1" applyAlignment="1">
      <alignment horizontal="center"/>
    </xf>
    <xf numFmtId="38" fontId="10" fillId="0" borderId="3" xfId="0" applyNumberFormat="1" applyFont="1" applyBorder="1" applyAlignment="1">
      <alignment horizontal="center"/>
    </xf>
    <xf numFmtId="38" fontId="10" fillId="0" borderId="14" xfId="0" applyNumberFormat="1" applyFont="1" applyBorder="1" applyAlignment="1">
      <alignment horizontal="center"/>
    </xf>
    <xf numFmtId="38" fontId="10" fillId="0" borderId="22" xfId="0" applyNumberFormat="1" applyFont="1" applyBorder="1" applyAlignment="1">
      <alignment horizontal="center"/>
    </xf>
    <xf numFmtId="38" fontId="12" fillId="0" borderId="3" xfId="0" applyNumberFormat="1" applyFont="1" applyBorder="1" applyAlignment="1">
      <alignment horizontal="center"/>
    </xf>
    <xf numFmtId="38" fontId="12" fillId="0" borderId="14" xfId="0" applyNumberFormat="1" applyFont="1" applyBorder="1" applyAlignment="1">
      <alignment horizontal="center"/>
    </xf>
    <xf numFmtId="37" fontId="12" fillId="0" borderId="3" xfId="0" applyNumberFormat="1" applyFont="1" applyBorder="1" applyAlignment="1">
      <alignment horizontal="center"/>
    </xf>
    <xf numFmtId="37" fontId="12" fillId="0" borderId="14" xfId="0" applyNumberFormat="1" applyFont="1" applyBorder="1" applyAlignment="1">
      <alignment horizontal="center"/>
    </xf>
    <xf numFmtId="10" fontId="10" fillId="0" borderId="0" xfId="1" applyNumberFormat="1" applyFont="1" applyAlignment="1">
      <alignment horizontal="center"/>
    </xf>
    <xf numFmtId="38" fontId="11" fillId="0" borderId="15" xfId="0" applyNumberFormat="1" applyFont="1" applyBorder="1" applyAlignment="1">
      <alignment horizontal="center"/>
    </xf>
    <xf numFmtId="38" fontId="10" fillId="0" borderId="3" xfId="0" applyNumberFormat="1" applyFont="1" applyBorder="1" applyAlignment="1">
      <alignment horizontal="left"/>
    </xf>
    <xf numFmtId="165" fontId="10" fillId="0" borderId="0" xfId="1" applyNumberFormat="1" applyFont="1" applyBorder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40" fontId="10" fillId="0" borderId="0" xfId="0" applyNumberFormat="1" applyFont="1" applyAlignment="1">
      <alignment horizontal="center"/>
    </xf>
    <xf numFmtId="40" fontId="10" fillId="0" borderId="12" xfId="0" applyNumberFormat="1" applyFont="1" applyBorder="1" applyAlignment="1">
      <alignment horizontal="center"/>
    </xf>
    <xf numFmtId="40" fontId="10" fillId="0" borderId="0" xfId="0" applyNumberFormat="1" applyFont="1" applyBorder="1" applyAlignment="1">
      <alignment horizontal="center"/>
    </xf>
    <xf numFmtId="40" fontId="10" fillId="6" borderId="0" xfId="0" applyNumberFormat="1" applyFont="1" applyFill="1" applyAlignment="1">
      <alignment horizontal="center"/>
    </xf>
    <xf numFmtId="37" fontId="12" fillId="0" borderId="12" xfId="0" applyNumberFormat="1" applyFont="1" applyBorder="1" applyAlignment="1">
      <alignment horizontal="center"/>
    </xf>
    <xf numFmtId="37" fontId="12" fillId="0" borderId="1" xfId="0" applyNumberFormat="1" applyFont="1" applyBorder="1" applyAlignment="1">
      <alignment horizontal="center"/>
    </xf>
    <xf numFmtId="37" fontId="12" fillId="0" borderId="13" xfId="0" applyNumberFormat="1" applyFont="1" applyBorder="1" applyAlignment="1">
      <alignment horizontal="center"/>
    </xf>
    <xf numFmtId="38" fontId="10" fillId="6" borderId="0" xfId="0" applyNumberFormat="1" applyFont="1" applyFill="1" applyBorder="1" applyAlignment="1">
      <alignment horizontal="center"/>
    </xf>
    <xf numFmtId="38" fontId="10" fillId="0" borderId="0" xfId="0" applyNumberFormat="1" applyFont="1" applyFill="1" applyBorder="1" applyAlignment="1">
      <alignment horizontal="center"/>
    </xf>
    <xf numFmtId="38" fontId="10" fillId="0" borderId="12" xfId="0" applyNumberFormat="1" applyFont="1" applyFill="1" applyBorder="1" applyAlignment="1">
      <alignment horizontal="center"/>
    </xf>
    <xf numFmtId="38" fontId="10" fillId="0" borderId="13" xfId="0" applyNumberFormat="1" applyFont="1" applyFill="1" applyBorder="1" applyAlignment="1">
      <alignment horizontal="center"/>
    </xf>
    <xf numFmtId="38" fontId="14" fillId="0" borderId="0" xfId="0" applyNumberFormat="1" applyFont="1" applyAlignment="1">
      <alignment horizontal="left"/>
    </xf>
    <xf numFmtId="38" fontId="14" fillId="0" borderId="0" xfId="0" applyNumberFormat="1" applyFont="1" applyAlignment="1">
      <alignment horizontal="center"/>
    </xf>
    <xf numFmtId="38" fontId="14" fillId="0" borderId="12" xfId="0" applyNumberFormat="1" applyFont="1" applyBorder="1" applyAlignment="1">
      <alignment horizontal="center"/>
    </xf>
    <xf numFmtId="38" fontId="14" fillId="0" borderId="0" xfId="0" applyNumberFormat="1" applyFont="1" applyBorder="1" applyAlignment="1">
      <alignment horizontal="center"/>
    </xf>
    <xf numFmtId="38" fontId="10" fillId="4" borderId="0" xfId="0" applyNumberFormat="1" applyFont="1" applyFill="1" applyAlignment="1">
      <alignment horizontal="center"/>
    </xf>
    <xf numFmtId="38" fontId="10" fillId="4" borderId="12" xfId="0" applyNumberFormat="1" applyFont="1" applyFill="1" applyBorder="1" applyAlignment="1">
      <alignment horizontal="center"/>
    </xf>
    <xf numFmtId="38" fontId="10" fillId="4" borderId="0" xfId="0" applyNumberFormat="1" applyFont="1" applyFill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166" fontId="12" fillId="0" borderId="12" xfId="0" applyNumberFormat="1" applyFont="1" applyBorder="1" applyAlignment="1">
      <alignment horizontal="center"/>
    </xf>
    <xf numFmtId="38" fontId="10" fillId="4" borderId="1" xfId="0" applyNumberFormat="1" applyFont="1" applyFill="1" applyBorder="1" applyAlignment="1">
      <alignment horizontal="center"/>
    </xf>
    <xf numFmtId="38" fontId="10" fillId="4" borderId="13" xfId="0" applyNumberFormat="1" applyFont="1" applyFill="1" applyBorder="1" applyAlignment="1">
      <alignment horizontal="center"/>
    </xf>
    <xf numFmtId="166" fontId="12" fillId="0" borderId="1" xfId="0" applyNumberFormat="1" applyFont="1" applyBorder="1" applyAlignment="1">
      <alignment horizontal="center"/>
    </xf>
    <xf numFmtId="166" fontId="12" fillId="0" borderId="13" xfId="0" applyNumberFormat="1" applyFont="1" applyBorder="1" applyAlignment="1">
      <alignment horizontal="center"/>
    </xf>
    <xf numFmtId="38" fontId="11" fillId="4" borderId="0" xfId="0" applyNumberFormat="1" applyFont="1" applyFill="1" applyAlignment="1">
      <alignment horizontal="center"/>
    </xf>
    <xf numFmtId="38" fontId="11" fillId="4" borderId="12" xfId="0" applyNumberFormat="1" applyFont="1" applyFill="1" applyBorder="1" applyAlignment="1">
      <alignment horizontal="center"/>
    </xf>
    <xf numFmtId="38" fontId="11" fillId="4" borderId="0" xfId="0" applyNumberFormat="1" applyFont="1" applyFill="1" applyBorder="1" applyAlignment="1">
      <alignment horizontal="center"/>
    </xf>
    <xf numFmtId="37" fontId="12" fillId="0" borderId="0" xfId="0" applyNumberFormat="1" applyFont="1" applyFill="1" applyBorder="1" applyAlignment="1">
      <alignment horizontal="center"/>
    </xf>
    <xf numFmtId="37" fontId="12" fillId="0" borderId="12" xfId="0" applyNumberFormat="1" applyFont="1" applyFill="1" applyBorder="1" applyAlignment="1">
      <alignment horizontal="center"/>
    </xf>
    <xf numFmtId="37" fontId="12" fillId="0" borderId="16" xfId="0" applyNumberFormat="1" applyFont="1" applyFill="1" applyBorder="1" applyAlignment="1">
      <alignment horizontal="center"/>
    </xf>
    <xf numFmtId="37" fontId="12" fillId="0" borderId="18" xfId="0" applyNumberFormat="1" applyFont="1" applyFill="1" applyBorder="1" applyAlignment="1">
      <alignment horizontal="center"/>
    </xf>
    <xf numFmtId="37" fontId="12" fillId="0" borderId="17" xfId="0" applyNumberFormat="1" applyFont="1" applyFill="1" applyBorder="1" applyAlignment="1">
      <alignment horizontal="center"/>
    </xf>
    <xf numFmtId="37" fontId="12" fillId="0" borderId="1" xfId="0" applyNumberFormat="1" applyFont="1" applyFill="1" applyBorder="1" applyAlignment="1">
      <alignment horizontal="center"/>
    </xf>
    <xf numFmtId="37" fontId="12" fillId="0" borderId="13" xfId="0" applyNumberFormat="1" applyFont="1" applyFill="1" applyBorder="1" applyAlignment="1">
      <alignment horizontal="center"/>
    </xf>
    <xf numFmtId="38" fontId="10" fillId="0" borderId="4" xfId="0" applyNumberFormat="1" applyFont="1" applyBorder="1" applyAlignment="1">
      <alignment horizontal="center"/>
    </xf>
    <xf numFmtId="38" fontId="13" fillId="0" borderId="0" xfId="0" applyNumberFormat="1" applyFont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/>
    </xf>
    <xf numFmtId="38" fontId="10" fillId="0" borderId="8" xfId="0" applyNumberFormat="1" applyFont="1" applyBorder="1" applyAlignment="1">
      <alignment horizontal="center"/>
    </xf>
    <xf numFmtId="38" fontId="10" fillId="0" borderId="9" xfId="0" applyNumberFormat="1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65" fontId="10" fillId="0" borderId="12" xfId="0" applyNumberFormat="1" applyFont="1" applyBorder="1" applyAlignment="1">
      <alignment horizontal="center"/>
    </xf>
    <xf numFmtId="165" fontId="12" fillId="0" borderId="0" xfId="0" applyNumberFormat="1" applyFont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65" fontId="12" fillId="0" borderId="12" xfId="0" applyNumberFormat="1" applyFont="1" applyBorder="1" applyAlignment="1">
      <alignment horizontal="center"/>
    </xf>
    <xf numFmtId="165" fontId="13" fillId="0" borderId="8" xfId="0" applyNumberFormat="1" applyFont="1" applyBorder="1" applyAlignment="1">
      <alignment horizontal="center"/>
    </xf>
    <xf numFmtId="165" fontId="10" fillId="0" borderId="9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5" fontId="11" fillId="0" borderId="8" xfId="0" applyNumberFormat="1" applyFont="1" applyBorder="1" applyAlignment="1">
      <alignment horizontal="center"/>
    </xf>
    <xf numFmtId="165" fontId="10" fillId="0" borderId="20" xfId="0" applyNumberFormat="1" applyFont="1" applyBorder="1" applyAlignment="1">
      <alignment horizontal="center"/>
    </xf>
    <xf numFmtId="38" fontId="10" fillId="4" borderId="8" xfId="0" applyNumberFormat="1" applyFont="1" applyFill="1" applyBorder="1" applyAlignment="1">
      <alignment horizontal="center"/>
    </xf>
    <xf numFmtId="38" fontId="10" fillId="4" borderId="9" xfId="0" applyNumberFormat="1" applyFont="1" applyFill="1" applyBorder="1" applyAlignment="1">
      <alignment horizontal="center"/>
    </xf>
    <xf numFmtId="38" fontId="10" fillId="0" borderId="0" xfId="0" applyNumberFormat="1" applyFont="1" applyFill="1" applyAlignment="1">
      <alignment horizontal="center"/>
    </xf>
    <xf numFmtId="165" fontId="10" fillId="0" borderId="0" xfId="0" applyNumberFormat="1" applyFont="1" applyFill="1" applyAlignment="1">
      <alignment horizontal="center"/>
    </xf>
    <xf numFmtId="165" fontId="10" fillId="0" borderId="12" xfId="0" applyNumberFormat="1" applyFont="1" applyFill="1" applyBorder="1" applyAlignment="1">
      <alignment horizontal="center"/>
    </xf>
    <xf numFmtId="165" fontId="10" fillId="0" borderId="2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13" fillId="0" borderId="8" xfId="0" applyNumberFormat="1" applyFont="1" applyFill="1" applyBorder="1" applyAlignment="1">
      <alignment horizontal="center"/>
    </xf>
    <xf numFmtId="165" fontId="10" fillId="0" borderId="9" xfId="0" applyNumberFormat="1" applyFont="1" applyFill="1" applyBorder="1" applyAlignment="1">
      <alignment horizontal="center"/>
    </xf>
    <xf numFmtId="165" fontId="10" fillId="4" borderId="0" xfId="0" applyNumberFormat="1" applyFont="1" applyFill="1" applyAlignment="1">
      <alignment horizontal="center"/>
    </xf>
    <xf numFmtId="165" fontId="13" fillId="0" borderId="19" xfId="0" applyNumberFormat="1" applyFont="1" applyBorder="1" applyAlignment="1">
      <alignment horizontal="center"/>
    </xf>
    <xf numFmtId="165" fontId="10" fillId="4" borderId="8" xfId="0" applyNumberFormat="1" applyFont="1" applyFill="1" applyBorder="1" applyAlignment="1">
      <alignment horizontal="center"/>
    </xf>
    <xf numFmtId="165" fontId="10" fillId="0" borderId="12" xfId="1" applyNumberFormat="1" applyFont="1" applyBorder="1" applyAlignment="1">
      <alignment horizontal="center"/>
    </xf>
    <xf numFmtId="165" fontId="13" fillId="0" borderId="10" xfId="0" applyNumberFormat="1" applyFont="1" applyBorder="1" applyAlignment="1">
      <alignment horizontal="center"/>
    </xf>
    <xf numFmtId="165" fontId="10" fillId="0" borderId="11" xfId="0" applyNumberFormat="1" applyFont="1" applyBorder="1" applyAlignment="1">
      <alignment horizontal="center"/>
    </xf>
    <xf numFmtId="165" fontId="13" fillId="0" borderId="0" xfId="0" applyNumberFormat="1" applyFont="1" applyAlignment="1">
      <alignment horizontal="center"/>
    </xf>
    <xf numFmtId="38" fontId="10" fillId="4" borderId="4" xfId="0" applyNumberFormat="1" applyFont="1" applyFill="1" applyBorder="1" applyAlignment="1">
      <alignment horizontal="center"/>
    </xf>
    <xf numFmtId="9" fontId="10" fillId="0" borderId="12" xfId="0" applyNumberFormat="1" applyFont="1" applyBorder="1" applyAlignment="1">
      <alignment horizontal="center"/>
    </xf>
    <xf numFmtId="9" fontId="10" fillId="0" borderId="19" xfId="0" applyNumberFormat="1" applyFont="1" applyBorder="1" applyAlignment="1">
      <alignment horizontal="center"/>
    </xf>
    <xf numFmtId="167" fontId="10" fillId="0" borderId="0" xfId="0" applyNumberFormat="1" applyFont="1" applyAlignment="1">
      <alignment horizontal="center"/>
    </xf>
    <xf numFmtId="167" fontId="10" fillId="0" borderId="12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2" fontId="10" fillId="0" borderId="0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left"/>
    </xf>
    <xf numFmtId="40" fontId="11" fillId="0" borderId="0" xfId="0" applyNumberFormat="1" applyFont="1" applyAlignment="1">
      <alignment horizontal="center"/>
    </xf>
    <xf numFmtId="9" fontId="13" fillId="0" borderId="0" xfId="1" applyFont="1" applyBorder="1" applyAlignment="1">
      <alignment horizontal="center"/>
    </xf>
    <xf numFmtId="9" fontId="10" fillId="0" borderId="0" xfId="0" applyNumberFormat="1" applyFont="1" applyBorder="1" applyAlignment="1">
      <alignment horizontal="center"/>
    </xf>
    <xf numFmtId="9" fontId="12" fillId="0" borderId="0" xfId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69" fontId="10" fillId="0" borderId="0" xfId="1" applyNumberFormat="1" applyFont="1" applyAlignment="1">
      <alignment horizontal="left"/>
    </xf>
    <xf numFmtId="169" fontId="10" fillId="0" borderId="0" xfId="0" applyNumberFormat="1" applyFont="1" applyAlignment="1">
      <alignment horizontal="center"/>
    </xf>
    <xf numFmtId="171" fontId="10" fillId="0" borderId="0" xfId="0" applyNumberFormat="1" applyFont="1" applyAlignment="1">
      <alignment horizontal="center"/>
    </xf>
    <xf numFmtId="10" fontId="10" fillId="0" borderId="0" xfId="0" applyNumberFormat="1" applyFont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9" fontId="10" fillId="0" borderId="0" xfId="1" applyFont="1" applyBorder="1" applyAlignment="1">
      <alignment horizontal="center"/>
    </xf>
    <xf numFmtId="170" fontId="10" fillId="0" borderId="0" xfId="0" applyNumberFormat="1" applyFont="1" applyAlignment="1">
      <alignment horizontal="center"/>
    </xf>
    <xf numFmtId="170" fontId="10" fillId="0" borderId="0" xfId="0" applyNumberFormat="1" applyFont="1" applyAlignment="1">
      <alignment horizontal="left"/>
    </xf>
    <xf numFmtId="9" fontId="12" fillId="0" borderId="0" xfId="1" applyNumberFormat="1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10" fillId="0" borderId="0" xfId="1" applyNumberFormat="1" applyFont="1" applyAlignment="1">
      <alignment horizontal="left"/>
    </xf>
    <xf numFmtId="168" fontId="10" fillId="0" borderId="0" xfId="0" applyNumberFormat="1" applyFont="1" applyAlignment="1">
      <alignment horizontal="center"/>
    </xf>
    <xf numFmtId="168" fontId="10" fillId="0" borderId="12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168" fontId="10" fillId="0" borderId="0" xfId="0" applyNumberFormat="1" applyFont="1" applyBorder="1" applyAlignment="1">
      <alignment horizontal="center"/>
    </xf>
    <xf numFmtId="168" fontId="10" fillId="0" borderId="1" xfId="0" applyNumberFormat="1" applyFont="1" applyBorder="1" applyAlignment="1">
      <alignment horizontal="center"/>
    </xf>
    <xf numFmtId="168" fontId="10" fillId="0" borderId="13" xfId="0" applyNumberFormat="1" applyFont="1" applyBorder="1" applyAlignment="1">
      <alignment horizontal="center"/>
    </xf>
    <xf numFmtId="165" fontId="11" fillId="0" borderId="18" xfId="1" applyNumberFormat="1" applyFont="1" applyBorder="1" applyAlignment="1">
      <alignment horizontal="center"/>
    </xf>
    <xf numFmtId="165" fontId="11" fillId="0" borderId="25" xfId="1" applyNumberFormat="1" applyFont="1" applyBorder="1" applyAlignment="1">
      <alignment horizontal="center"/>
    </xf>
    <xf numFmtId="168" fontId="11" fillId="0" borderId="0" xfId="0" applyNumberFormat="1" applyFont="1" applyAlignment="1">
      <alignment horizontal="center"/>
    </xf>
    <xf numFmtId="168" fontId="11" fillId="0" borderId="12" xfId="0" applyNumberFormat="1" applyFont="1" applyBorder="1" applyAlignment="1">
      <alignment horizontal="center"/>
    </xf>
    <xf numFmtId="0" fontId="10" fillId="0" borderId="27" xfId="0" applyFont="1" applyBorder="1" applyAlignment="1">
      <alignment horizontal="left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left"/>
    </xf>
    <xf numFmtId="0" fontId="10" fillId="0" borderId="30" xfId="0" applyFont="1" applyBorder="1" applyAlignment="1">
      <alignment horizontal="center"/>
    </xf>
    <xf numFmtId="0" fontId="11" fillId="0" borderId="29" xfId="0" applyFont="1" applyBorder="1" applyAlignment="1">
      <alignment horizontal="left"/>
    </xf>
    <xf numFmtId="38" fontId="10" fillId="0" borderId="30" xfId="0" applyNumberFormat="1" applyFont="1" applyFill="1" applyBorder="1" applyAlignment="1">
      <alignment horizontal="center"/>
    </xf>
    <xf numFmtId="165" fontId="10" fillId="0" borderId="23" xfId="1" applyNumberFormat="1" applyFont="1" applyBorder="1" applyAlignment="1">
      <alignment horizontal="center"/>
    </xf>
    <xf numFmtId="0" fontId="10" fillId="0" borderId="31" xfId="0" applyFont="1" applyBorder="1" applyAlignment="1">
      <alignment horizontal="left"/>
    </xf>
    <xf numFmtId="0" fontId="10" fillId="0" borderId="32" xfId="0" applyFont="1" applyBorder="1" applyAlignment="1">
      <alignment horizontal="center"/>
    </xf>
    <xf numFmtId="165" fontId="10" fillId="0" borderId="1" xfId="1" applyNumberFormat="1" applyFont="1" applyBorder="1" applyAlignment="1">
      <alignment horizontal="center"/>
    </xf>
    <xf numFmtId="165" fontId="10" fillId="0" borderId="13" xfId="1" applyNumberFormat="1" applyFont="1" applyBorder="1" applyAlignment="1">
      <alignment horizontal="center"/>
    </xf>
    <xf numFmtId="165" fontId="10" fillId="0" borderId="24" xfId="1" applyNumberFormat="1" applyFont="1" applyBorder="1" applyAlignment="1">
      <alignment horizontal="center"/>
    </xf>
    <xf numFmtId="165" fontId="11" fillId="0" borderId="0" xfId="0" applyNumberFormat="1" applyFont="1" applyAlignment="1">
      <alignment horizontal="center"/>
    </xf>
    <xf numFmtId="165" fontId="11" fillId="0" borderId="12" xfId="0" applyNumberFormat="1" applyFont="1" applyBorder="1" applyAlignment="1">
      <alignment horizontal="center"/>
    </xf>
    <xf numFmtId="165" fontId="11" fillId="0" borderId="23" xfId="0" applyNumberFormat="1" applyFont="1" applyBorder="1" applyAlignment="1">
      <alignment horizontal="center"/>
    </xf>
    <xf numFmtId="38" fontId="11" fillId="0" borderId="30" xfId="0" applyNumberFormat="1" applyFont="1" applyBorder="1" applyAlignment="1">
      <alignment horizontal="center"/>
    </xf>
    <xf numFmtId="38" fontId="10" fillId="0" borderId="30" xfId="0" applyNumberFormat="1" applyFont="1" applyBorder="1" applyAlignment="1">
      <alignment horizontal="center"/>
    </xf>
    <xf numFmtId="9" fontId="10" fillId="0" borderId="12" xfId="1" applyFont="1" applyBorder="1" applyAlignment="1">
      <alignment horizontal="center"/>
    </xf>
    <xf numFmtId="0" fontId="10" fillId="0" borderId="33" xfId="0" applyFont="1" applyBorder="1" applyAlignment="1">
      <alignment horizontal="left"/>
    </xf>
    <xf numFmtId="38" fontId="10" fillId="0" borderId="34" xfId="0" applyNumberFormat="1" applyFont="1" applyBorder="1" applyAlignment="1">
      <alignment horizontal="center"/>
    </xf>
    <xf numFmtId="169" fontId="10" fillId="0" borderId="12" xfId="0" applyNumberFormat="1" applyFont="1" applyBorder="1" applyAlignment="1">
      <alignment horizontal="center"/>
    </xf>
    <xf numFmtId="169" fontId="10" fillId="0" borderId="23" xfId="0" applyNumberFormat="1" applyFont="1" applyBorder="1" applyAlignment="1">
      <alignment horizontal="center"/>
    </xf>
    <xf numFmtId="169" fontId="10" fillId="0" borderId="1" xfId="0" applyNumberFormat="1" applyFont="1" applyBorder="1" applyAlignment="1">
      <alignment horizontal="center"/>
    </xf>
    <xf numFmtId="169" fontId="10" fillId="0" borderId="13" xfId="0" applyNumberFormat="1" applyFont="1" applyBorder="1" applyAlignment="1">
      <alignment horizontal="center"/>
    </xf>
    <xf numFmtId="169" fontId="10" fillId="0" borderId="24" xfId="0" applyNumberFormat="1" applyFont="1" applyBorder="1" applyAlignment="1">
      <alignment horizontal="center"/>
    </xf>
    <xf numFmtId="9" fontId="11" fillId="0" borderId="18" xfId="1" applyFont="1" applyBorder="1" applyAlignment="1">
      <alignment horizontal="center"/>
    </xf>
    <xf numFmtId="9" fontId="11" fillId="0" borderId="25" xfId="1" applyFont="1" applyBorder="1" applyAlignment="1">
      <alignment horizontal="center"/>
    </xf>
    <xf numFmtId="169" fontId="11" fillId="0" borderId="0" xfId="0" applyNumberFormat="1" applyFont="1" applyAlignment="1">
      <alignment horizontal="center"/>
    </xf>
    <xf numFmtId="169" fontId="11" fillId="0" borderId="12" xfId="0" applyNumberFormat="1" applyFont="1" applyBorder="1" applyAlignment="1">
      <alignment horizontal="center"/>
    </xf>
    <xf numFmtId="169" fontId="11" fillId="0" borderId="23" xfId="0" applyNumberFormat="1" applyFont="1" applyBorder="1" applyAlignment="1">
      <alignment horizontal="center"/>
    </xf>
    <xf numFmtId="9" fontId="10" fillId="0" borderId="0" xfId="1" applyNumberFormat="1" applyFont="1" applyAlignment="1">
      <alignment horizontal="center"/>
    </xf>
    <xf numFmtId="169" fontId="10" fillId="0" borderId="0" xfId="0" applyNumberFormat="1" applyFont="1" applyBorder="1" applyAlignment="1">
      <alignment horizontal="center"/>
    </xf>
    <xf numFmtId="169" fontId="10" fillId="0" borderId="0" xfId="1" applyNumberFormat="1" applyFont="1" applyAlignment="1">
      <alignment horizontal="center"/>
    </xf>
    <xf numFmtId="169" fontId="10" fillId="0" borderId="12" xfId="1" applyNumberFormat="1" applyFont="1" applyBorder="1" applyAlignment="1">
      <alignment horizontal="center"/>
    </xf>
    <xf numFmtId="169" fontId="10" fillId="0" borderId="23" xfId="1" applyNumberFormat="1" applyFont="1" applyBorder="1" applyAlignment="1">
      <alignment horizontal="center"/>
    </xf>
    <xf numFmtId="169" fontId="10" fillId="0" borderId="1" xfId="1" applyNumberFormat="1" applyFont="1" applyBorder="1" applyAlignment="1">
      <alignment horizontal="center"/>
    </xf>
    <xf numFmtId="169" fontId="10" fillId="0" borderId="13" xfId="1" applyNumberFormat="1" applyFont="1" applyBorder="1" applyAlignment="1">
      <alignment horizontal="center"/>
    </xf>
    <xf numFmtId="169" fontId="10" fillId="0" borderId="24" xfId="1" applyNumberFormat="1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38" fontId="10" fillId="5" borderId="0" xfId="0" applyNumberFormat="1" applyFont="1" applyFill="1" applyAlignment="1">
      <alignment horizontal="left"/>
    </xf>
    <xf numFmtId="38" fontId="10" fillId="5" borderId="0" xfId="0" applyNumberFormat="1" applyFont="1" applyFill="1" applyAlignment="1">
      <alignment horizontal="center"/>
    </xf>
    <xf numFmtId="9" fontId="12" fillId="5" borderId="0" xfId="1" applyFont="1" applyFill="1" applyAlignment="1">
      <alignment horizontal="center"/>
    </xf>
    <xf numFmtId="38" fontId="12" fillId="5" borderId="0" xfId="0" applyNumberFormat="1" applyFont="1" applyFill="1" applyAlignment="1">
      <alignment horizontal="center"/>
    </xf>
    <xf numFmtId="165" fontId="12" fillId="5" borderId="0" xfId="1" applyNumberFormat="1" applyFont="1" applyFill="1" applyAlignment="1">
      <alignment horizontal="center"/>
    </xf>
    <xf numFmtId="38" fontId="12" fillId="5" borderId="1" xfId="0" applyNumberFormat="1" applyFont="1" applyFill="1" applyBorder="1" applyAlignment="1">
      <alignment horizontal="center"/>
    </xf>
    <xf numFmtId="38" fontId="10" fillId="0" borderId="0" xfId="0" applyNumberFormat="1" applyFont="1" applyFill="1" applyAlignment="1">
      <alignment horizontal="left"/>
    </xf>
    <xf numFmtId="38" fontId="11" fillId="0" borderId="0" xfId="0" applyNumberFormat="1" applyFont="1" applyBorder="1" applyAlignment="1">
      <alignment horizontal="left"/>
    </xf>
    <xf numFmtId="38" fontId="10" fillId="0" borderId="35" xfId="0" applyNumberFormat="1" applyFont="1" applyBorder="1" applyAlignment="1">
      <alignment horizontal="left"/>
    </xf>
    <xf numFmtId="38" fontId="10" fillId="0" borderId="36" xfId="0" applyNumberFormat="1" applyFont="1" applyBorder="1" applyAlignment="1">
      <alignment horizontal="center"/>
    </xf>
    <xf numFmtId="38" fontId="10" fillId="0" borderId="37" xfId="0" applyNumberFormat="1" applyFont="1" applyBorder="1" applyAlignment="1">
      <alignment horizontal="center"/>
    </xf>
    <xf numFmtId="38" fontId="10" fillId="0" borderId="23" xfId="0" applyNumberFormat="1" applyFont="1" applyBorder="1" applyAlignment="1">
      <alignment horizontal="left"/>
    </xf>
    <xf numFmtId="38" fontId="10" fillId="0" borderId="38" xfId="0" applyNumberFormat="1" applyFont="1" applyBorder="1" applyAlignment="1">
      <alignment horizontal="left"/>
    </xf>
    <xf numFmtId="38" fontId="10" fillId="0" borderId="26" xfId="0" applyNumberFormat="1" applyFont="1" applyBorder="1" applyAlignment="1">
      <alignment horizontal="center"/>
    </xf>
    <xf numFmtId="38" fontId="10" fillId="0" borderId="39" xfId="0" applyNumberFormat="1" applyFont="1" applyBorder="1" applyAlignment="1">
      <alignment horizontal="center"/>
    </xf>
    <xf numFmtId="0" fontId="9" fillId="8" borderId="0" xfId="7" applyFont="1" applyBorder="1" applyAlignment="1">
      <alignment horizontal="right" vertical="center"/>
    </xf>
    <xf numFmtId="0" fontId="9" fillId="8" borderId="0" xfId="7" applyFont="1" applyAlignment="1">
      <alignment horizontal="center"/>
    </xf>
    <xf numFmtId="0" fontId="8" fillId="8" borderId="0" xfId="7" applyFont="1" applyBorder="1" applyAlignment="1">
      <alignment horizontal="left" vertical="center"/>
    </xf>
    <xf numFmtId="0" fontId="8" fillId="8" borderId="0" xfId="7" applyFont="1" applyBorder="1" applyAlignment="1">
      <alignment horizontal="center" vertical="center"/>
    </xf>
    <xf numFmtId="0" fontId="8" fillId="8" borderId="0" xfId="7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 horizontal="center"/>
    </xf>
    <xf numFmtId="0" fontId="8" fillId="8" borderId="0" xfId="7" applyFont="1" applyBorder="1" applyAlignment="1">
      <alignment horizontal="center"/>
    </xf>
    <xf numFmtId="0" fontId="8" fillId="10" borderId="0" xfId="9" applyFont="1" applyBorder="1" applyAlignment="1">
      <alignment horizontal="left"/>
    </xf>
    <xf numFmtId="0" fontId="8" fillId="10" borderId="0" xfId="9" applyFont="1" applyBorder="1" applyAlignment="1">
      <alignment horizontal="center"/>
    </xf>
    <xf numFmtId="0" fontId="8" fillId="11" borderId="16" xfId="10" applyFont="1" applyBorder="1" applyAlignment="1">
      <alignment horizontal="left"/>
    </xf>
    <xf numFmtId="38" fontId="8" fillId="11" borderId="17" xfId="1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8" borderId="6" xfId="7" applyFont="1" applyBorder="1" applyAlignment="1">
      <alignment horizontal="left"/>
    </xf>
    <xf numFmtId="38" fontId="8" fillId="8" borderId="7" xfId="7" applyNumberFormat="1" applyFont="1" applyBorder="1" applyAlignment="1">
      <alignment horizontal="center"/>
    </xf>
    <xf numFmtId="0" fontId="8" fillId="8" borderId="0" xfId="7" applyFont="1" applyAlignment="1">
      <alignment horizontal="left"/>
    </xf>
    <xf numFmtId="0" fontId="8" fillId="8" borderId="0" xfId="7" applyFont="1" applyAlignment="1">
      <alignment horizontal="center"/>
    </xf>
    <xf numFmtId="0" fontId="8" fillId="10" borderId="0" xfId="9" applyFont="1" applyAlignment="1">
      <alignment horizontal="left"/>
    </xf>
    <xf numFmtId="0" fontId="8" fillId="10" borderId="0" xfId="9" applyFont="1" applyAlignment="1">
      <alignment horizontal="center"/>
    </xf>
    <xf numFmtId="0" fontId="8" fillId="10" borderId="12" xfId="9" applyFont="1" applyBorder="1" applyAlignment="1">
      <alignment horizontal="center"/>
    </xf>
    <xf numFmtId="170" fontId="11" fillId="0" borderId="0" xfId="0" applyNumberFormat="1" applyFont="1" applyAlignment="1">
      <alignment horizontal="center"/>
    </xf>
    <xf numFmtId="0" fontId="8" fillId="10" borderId="23" xfId="9" applyFont="1" applyBorder="1" applyAlignment="1">
      <alignment horizontal="center"/>
    </xf>
    <xf numFmtId="164" fontId="9" fillId="8" borderId="0" xfId="7" applyNumberFormat="1" applyFont="1" applyAlignment="1">
      <alignment horizontal="center"/>
    </xf>
    <xf numFmtId="164" fontId="9" fillId="8" borderId="12" xfId="7" applyNumberFormat="1" applyFont="1" applyBorder="1" applyAlignment="1">
      <alignment horizontal="center"/>
    </xf>
    <xf numFmtId="164" fontId="10" fillId="9" borderId="0" xfId="8" applyNumberFormat="1" applyFont="1" applyAlignment="1">
      <alignment horizontal="center"/>
    </xf>
    <xf numFmtId="164" fontId="10" fillId="9" borderId="12" xfId="8" applyNumberFormat="1" applyFont="1" applyBorder="1" applyAlignment="1">
      <alignment horizontal="center"/>
    </xf>
    <xf numFmtId="164" fontId="9" fillId="8" borderId="20" xfId="7" applyNumberFormat="1" applyFont="1" applyBorder="1" applyAlignment="1">
      <alignment horizontal="center"/>
    </xf>
    <xf numFmtId="164" fontId="10" fillId="9" borderId="0" xfId="8" applyNumberFormat="1" applyFont="1" applyBorder="1" applyAlignment="1">
      <alignment horizontal="center"/>
    </xf>
    <xf numFmtId="164" fontId="9" fillId="10" borderId="0" xfId="9" applyNumberFormat="1" applyFont="1" applyBorder="1" applyAlignment="1">
      <alignment horizontal="center"/>
    </xf>
    <xf numFmtId="164" fontId="9" fillId="10" borderId="12" xfId="9" applyNumberFormat="1" applyFont="1" applyBorder="1" applyAlignment="1">
      <alignment horizontal="center"/>
    </xf>
    <xf numFmtId="164" fontId="9" fillId="12" borderId="0" xfId="11" applyNumberFormat="1" applyFont="1" applyAlignment="1">
      <alignment horizontal="center"/>
    </xf>
    <xf numFmtId="38" fontId="8" fillId="8" borderId="0" xfId="7" applyNumberFormat="1" applyFont="1" applyAlignment="1">
      <alignment horizontal="left"/>
    </xf>
    <xf numFmtId="164" fontId="8" fillId="8" borderId="0" xfId="7" applyNumberFormat="1" applyFont="1" applyAlignment="1">
      <alignment horizontal="center"/>
    </xf>
    <xf numFmtId="164" fontId="8" fillId="8" borderId="12" xfId="7" applyNumberFormat="1" applyFont="1" applyBorder="1" applyAlignment="1">
      <alignment horizontal="center"/>
    </xf>
    <xf numFmtId="164" fontId="11" fillId="9" borderId="0" xfId="8" applyNumberFormat="1" applyFont="1" applyAlignment="1">
      <alignment horizontal="center"/>
    </xf>
    <xf numFmtId="164" fontId="11" fillId="9" borderId="12" xfId="8" applyNumberFormat="1" applyFont="1" applyBorder="1" applyAlignment="1">
      <alignment horizontal="center"/>
    </xf>
    <xf numFmtId="164" fontId="8" fillId="8" borderId="20" xfId="7" applyNumberFormat="1" applyFont="1" applyBorder="1" applyAlignment="1">
      <alignment horizontal="center"/>
    </xf>
    <xf numFmtId="164" fontId="11" fillId="9" borderId="0" xfId="8" applyNumberFormat="1" applyFont="1" applyBorder="1" applyAlignment="1">
      <alignment horizontal="center"/>
    </xf>
    <xf numFmtId="164" fontId="11" fillId="12" borderId="0" xfId="11" applyNumberFormat="1" applyFont="1" applyAlignment="1">
      <alignment horizontal="center"/>
    </xf>
    <xf numFmtId="164" fontId="8" fillId="10" borderId="0" xfId="9" applyNumberFormat="1" applyFont="1" applyBorder="1" applyAlignment="1">
      <alignment horizontal="center"/>
    </xf>
    <xf numFmtId="164" fontId="8" fillId="10" borderId="12" xfId="9" applyNumberFormat="1" applyFont="1" applyBorder="1" applyAlignment="1">
      <alignment horizontal="center"/>
    </xf>
    <xf numFmtId="0" fontId="8" fillId="11" borderId="0" xfId="10" applyFont="1" applyAlignment="1">
      <alignment horizontal="left"/>
    </xf>
    <xf numFmtId="38" fontId="8" fillId="11" borderId="2" xfId="10" applyNumberFormat="1" applyFont="1" applyBorder="1" applyAlignment="1">
      <alignment horizontal="center"/>
    </xf>
    <xf numFmtId="0" fontId="8" fillId="11" borderId="0" xfId="10" applyFont="1" applyAlignment="1">
      <alignment horizontal="center"/>
    </xf>
    <xf numFmtId="0" fontId="9" fillId="11" borderId="19" xfId="10" applyFont="1" applyBorder="1" applyAlignment="1">
      <alignment horizontal="center"/>
    </xf>
    <xf numFmtId="0" fontId="8" fillId="8" borderId="8" xfId="7" applyFont="1" applyBorder="1" applyAlignment="1"/>
    <xf numFmtId="0" fontId="8" fillId="8" borderId="9" xfId="7" applyFont="1" applyBorder="1" applyAlignment="1">
      <alignment horizontal="center"/>
    </xf>
    <xf numFmtId="0" fontId="8" fillId="9" borderId="0" xfId="8" applyFont="1" applyBorder="1" applyAlignment="1">
      <alignment horizontal="left"/>
    </xf>
    <xf numFmtId="0" fontId="8" fillId="9" borderId="0" xfId="8" applyFont="1" applyBorder="1" applyAlignment="1">
      <alignment horizontal="center"/>
    </xf>
    <xf numFmtId="38" fontId="9" fillId="11" borderId="0" xfId="10" applyNumberFormat="1" applyFont="1" applyAlignment="1">
      <alignment horizontal="left"/>
    </xf>
    <xf numFmtId="38" fontId="9" fillId="11" borderId="0" xfId="10" applyNumberFormat="1" applyFont="1" applyAlignment="1">
      <alignment horizontal="center"/>
    </xf>
    <xf numFmtId="37" fontId="11" fillId="11" borderId="0" xfId="10" applyNumberFormat="1" applyFont="1" applyAlignment="1">
      <alignment horizontal="left"/>
    </xf>
    <xf numFmtId="37" fontId="11" fillId="11" borderId="2" xfId="10" applyNumberFormat="1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11" borderId="0" xfId="10" applyFont="1" applyAlignment="1">
      <alignment horizontal="left"/>
    </xf>
    <xf numFmtId="0" fontId="10" fillId="0" borderId="0" xfId="0" applyFont="1" applyAlignment="1"/>
    <xf numFmtId="0" fontId="10" fillId="0" borderId="0" xfId="0" applyFont="1" applyFill="1" applyAlignment="1">
      <alignment horizontal="left"/>
    </xf>
  </cellXfs>
  <cellStyles count="41">
    <cellStyle name="$millions" xfId="12"/>
    <cellStyle name="40% - Accent1" xfId="8" builtinId="31"/>
    <cellStyle name="60% - Accent1" xfId="9" builtinId="32"/>
    <cellStyle name="60% - Accent3" xfId="11" builtinId="40"/>
    <cellStyle name="Accent1" xfId="7" builtinId="29"/>
    <cellStyle name="Accent3" xfId="10" builtinId="37"/>
    <cellStyle name="Comma 2" xfId="13"/>
    <cellStyle name="Comma 2 2" xfId="14"/>
    <cellStyle name="Comma 3" xfId="15"/>
    <cellStyle name="growth" xfId="16"/>
    <cellStyle name="Heading 1" xfId="4" builtinId="16" customBuiltin="1"/>
    <cellStyle name="Heading 1 2" xfId="17"/>
    <cellStyle name="Heading 2" xfId="5" builtinId="17" customBuiltin="1"/>
    <cellStyle name="Heading 2 2" xfId="18"/>
    <cellStyle name="Heading 3" xfId="6" builtinId="18" customBuiltin="1"/>
    <cellStyle name="Heading 3 2" xfId="19"/>
    <cellStyle name="Hyperlink" xfId="2" builtinId="8"/>
    <cellStyle name="Normal" xfId="0" builtinId="0" customBuiltin="1"/>
    <cellStyle name="Normal 2" xfId="20"/>
    <cellStyle name="Normal 2 2" xfId="21"/>
    <cellStyle name="Normal 2 3" xfId="22"/>
    <cellStyle name="Normal 3" xfId="23"/>
    <cellStyle name="Normal 3 2" xfId="24"/>
    <cellStyle name="Normal 3 3" xfId="25"/>
    <cellStyle name="Normal 4" xfId="26"/>
    <cellStyle name="Normal 47" xfId="27"/>
    <cellStyle name="Normal 48" xfId="28"/>
    <cellStyle name="Normal 5" xfId="29"/>
    <cellStyle name="Normal 6" xfId="30"/>
    <cellStyle name="Normal Text" xfId="31"/>
    <cellStyle name="Page Title" xfId="32"/>
    <cellStyle name="pagetitle" xfId="33"/>
    <cellStyle name="Percent" xfId="1" builtinId="5"/>
    <cellStyle name="Percent 2" xfId="34"/>
    <cellStyle name="Percent 2 2" xfId="35"/>
    <cellStyle name="Percent 3" xfId="36"/>
    <cellStyle name="Sub Title" xfId="37"/>
    <cellStyle name="Table Sub-Title" xfId="38"/>
    <cellStyle name="Table_Title" xfId="39"/>
    <cellStyle name="Title" xfId="3" builtinId="15" customBuiltin="1"/>
    <cellStyle name="Title 2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104774</xdr:rowOff>
    </xdr:from>
    <xdr:to>
      <xdr:col>1</xdr:col>
      <xdr:colOff>2457450</xdr:colOff>
      <xdr:row>6</xdr:row>
      <xdr:rowOff>142875</xdr:rowOff>
    </xdr:to>
    <xdr:pic>
      <xdr:nvPicPr>
        <xdr:cNvPr id="2" name="Picture 1" descr="FAO_Letterhead_2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07" t="4000" r="64352" b="88364"/>
        <a:stretch/>
      </xdr:blipFill>
      <xdr:spPr bwMode="auto">
        <a:xfrm>
          <a:off x="723900" y="266699"/>
          <a:ext cx="2343150" cy="80010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fao-on.org/web/default/files/publications/FAO%20Hydro%20One%20EN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3"/>
  <sheetViews>
    <sheetView tabSelected="1" zoomScale="115" zoomScaleNormal="115" workbookViewId="0"/>
  </sheetViews>
  <sheetFormatPr defaultRowHeight="12"/>
  <cols>
    <col min="1" max="1" width="9.140625" style="4"/>
    <col min="2" max="2" width="45.140625" style="86" customWidth="1"/>
    <col min="3" max="16384" width="9.140625" style="4"/>
  </cols>
  <sheetData>
    <row r="2" spans="2:12">
      <c r="B2" s="64"/>
      <c r="C2" s="65"/>
      <c r="D2" s="65"/>
      <c r="E2" s="65"/>
      <c r="F2" s="65"/>
      <c r="G2" s="65"/>
      <c r="H2" s="65"/>
      <c r="I2" s="65"/>
      <c r="J2" s="65"/>
      <c r="K2" s="65"/>
      <c r="L2" s="66"/>
    </row>
    <row r="3" spans="2:12">
      <c r="B3" s="67"/>
      <c r="C3" s="68"/>
      <c r="D3" s="68"/>
      <c r="E3" s="68"/>
      <c r="F3" s="68"/>
      <c r="G3" s="68"/>
      <c r="H3" s="68"/>
      <c r="I3" s="68"/>
      <c r="J3" s="68"/>
      <c r="K3" s="68"/>
      <c r="L3" s="69"/>
    </row>
    <row r="4" spans="2:12">
      <c r="B4" s="67"/>
      <c r="C4" s="68"/>
      <c r="D4" s="68"/>
      <c r="E4" s="68"/>
      <c r="F4" s="68"/>
      <c r="G4" s="68"/>
      <c r="H4" s="68"/>
      <c r="I4" s="68"/>
      <c r="J4" s="68"/>
      <c r="K4" s="68"/>
      <c r="L4" s="69"/>
    </row>
    <row r="5" spans="2:12">
      <c r="B5" s="67"/>
      <c r="C5" s="68"/>
      <c r="D5" s="68"/>
      <c r="E5" s="68"/>
      <c r="F5" s="68"/>
      <c r="G5" s="68"/>
      <c r="H5" s="68"/>
      <c r="I5" s="68"/>
      <c r="J5" s="68"/>
      <c r="K5" s="68"/>
      <c r="L5" s="69"/>
    </row>
    <row r="6" spans="2:12">
      <c r="B6" s="67"/>
      <c r="C6" s="68"/>
      <c r="D6" s="68"/>
      <c r="E6" s="68"/>
      <c r="F6" s="68"/>
      <c r="G6" s="68"/>
      <c r="H6" s="68"/>
      <c r="I6" s="68"/>
      <c r="J6" s="68"/>
      <c r="K6" s="68"/>
      <c r="L6" s="69"/>
    </row>
    <row r="7" spans="2:12">
      <c r="B7" s="67"/>
      <c r="C7" s="68"/>
      <c r="D7" s="68"/>
      <c r="E7" s="68"/>
      <c r="F7" s="68"/>
      <c r="G7" s="68"/>
      <c r="H7" s="68"/>
      <c r="I7" s="68"/>
      <c r="J7" s="68"/>
      <c r="K7" s="68"/>
      <c r="L7" s="69"/>
    </row>
    <row r="8" spans="2:12">
      <c r="B8" s="67"/>
      <c r="C8" s="68"/>
      <c r="D8" s="68"/>
      <c r="E8" s="68"/>
      <c r="F8" s="68"/>
      <c r="G8" s="68"/>
      <c r="H8" s="68"/>
      <c r="I8" s="68"/>
      <c r="J8" s="68"/>
      <c r="K8" s="68"/>
      <c r="L8" s="69"/>
    </row>
    <row r="9" spans="2:12">
      <c r="B9" s="70" t="s">
        <v>366</v>
      </c>
      <c r="C9" s="68"/>
      <c r="D9" s="68"/>
      <c r="E9" s="71" t="s">
        <v>367</v>
      </c>
      <c r="F9" s="68"/>
      <c r="G9" s="68"/>
      <c r="H9" s="68"/>
      <c r="I9" s="68"/>
      <c r="J9" s="68"/>
      <c r="K9" s="68"/>
      <c r="L9" s="69"/>
    </row>
    <row r="10" spans="2:12"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9"/>
    </row>
    <row r="11" spans="2:12">
      <c r="B11" s="72" t="s">
        <v>384</v>
      </c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2:12"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9"/>
    </row>
    <row r="13" spans="2:12">
      <c r="B13" s="70" t="s">
        <v>385</v>
      </c>
      <c r="C13" s="68"/>
      <c r="D13" s="68"/>
      <c r="E13" s="68"/>
      <c r="F13" s="68"/>
      <c r="G13" s="68"/>
      <c r="H13" s="68"/>
      <c r="I13" s="68"/>
      <c r="J13" s="68"/>
      <c r="K13" s="68"/>
      <c r="L13" s="69"/>
    </row>
    <row r="14" spans="2:12"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69"/>
    </row>
    <row r="15" spans="2:12">
      <c r="B15" s="70" t="s">
        <v>386</v>
      </c>
      <c r="C15" s="68"/>
      <c r="D15" s="68"/>
      <c r="E15" s="68"/>
      <c r="F15" s="68"/>
      <c r="G15" s="68"/>
      <c r="H15" s="68"/>
      <c r="I15" s="68"/>
      <c r="J15" s="68"/>
      <c r="K15" s="68"/>
      <c r="L15" s="69"/>
    </row>
    <row r="16" spans="2:12"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9"/>
    </row>
    <row r="17" spans="2:12">
      <c r="B17" s="70" t="s">
        <v>387</v>
      </c>
      <c r="C17" s="68"/>
      <c r="D17" s="68"/>
      <c r="E17" s="68"/>
      <c r="F17" s="68"/>
      <c r="G17" s="68"/>
      <c r="H17" s="68"/>
      <c r="I17" s="68"/>
      <c r="J17" s="68"/>
      <c r="K17" s="68"/>
      <c r="L17" s="69"/>
    </row>
    <row r="18" spans="2:12"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9"/>
    </row>
    <row r="19" spans="2:12">
      <c r="B19" s="73" t="s">
        <v>368</v>
      </c>
      <c r="C19" s="74"/>
      <c r="D19" s="74"/>
      <c r="E19" s="74"/>
      <c r="F19" s="74"/>
      <c r="G19" s="74"/>
      <c r="H19" s="74"/>
      <c r="I19" s="74"/>
      <c r="J19" s="74"/>
      <c r="K19" s="74"/>
      <c r="L19" s="75"/>
    </row>
    <row r="20" spans="2:12">
      <c r="B20" s="70" t="s">
        <v>379</v>
      </c>
      <c r="C20" s="68"/>
      <c r="D20" s="68"/>
      <c r="E20" s="68"/>
      <c r="F20" s="68"/>
      <c r="G20" s="68"/>
      <c r="H20" s="68"/>
      <c r="I20" s="68"/>
      <c r="J20" s="68"/>
      <c r="K20" s="68"/>
      <c r="L20" s="69"/>
    </row>
    <row r="21" spans="2:12"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69"/>
    </row>
    <row r="22" spans="2:12">
      <c r="B22" s="67" t="s">
        <v>369</v>
      </c>
      <c r="C22" s="76">
        <f>Valuation!C22</f>
        <v>14320.678502454371</v>
      </c>
      <c r="D22" s="68"/>
      <c r="E22" s="68"/>
      <c r="F22" s="68"/>
      <c r="G22" s="68"/>
      <c r="H22" s="68"/>
      <c r="I22" s="68"/>
      <c r="J22" s="68"/>
      <c r="K22" s="68"/>
      <c r="L22" s="69"/>
    </row>
    <row r="23" spans="2:12">
      <c r="B23" s="67" t="s">
        <v>370</v>
      </c>
      <c r="C23" s="76">
        <f>Valuation!C24</f>
        <v>11030.603305493209</v>
      </c>
      <c r="D23" s="68"/>
      <c r="E23" s="68"/>
      <c r="F23" s="68"/>
      <c r="G23" s="68"/>
      <c r="H23" s="68"/>
      <c r="I23" s="68"/>
      <c r="J23" s="68"/>
      <c r="K23" s="68"/>
      <c r="L23" s="69"/>
    </row>
    <row r="24" spans="2:12"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9"/>
    </row>
    <row r="25" spans="2:12">
      <c r="B25" s="77" t="s">
        <v>373</v>
      </c>
      <c r="C25" s="76">
        <f>Valuation!F34</f>
        <v>6819.5734243120887</v>
      </c>
      <c r="D25" s="68"/>
      <c r="E25" s="68"/>
      <c r="F25" s="68"/>
      <c r="G25" s="68"/>
      <c r="H25" s="68"/>
      <c r="I25" s="68"/>
      <c r="J25" s="68"/>
      <c r="K25" s="68"/>
      <c r="L25" s="69"/>
    </row>
    <row r="26" spans="2:12"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69"/>
    </row>
    <row r="27" spans="2:12">
      <c r="B27" s="67" t="s">
        <v>371</v>
      </c>
      <c r="C27" s="76">
        <f>Valuation!J34</f>
        <v>1403.9800530608743</v>
      </c>
      <c r="D27" s="68"/>
      <c r="E27" s="68"/>
      <c r="F27" s="68"/>
      <c r="G27" s="68"/>
      <c r="H27" s="68"/>
      <c r="I27" s="68"/>
      <c r="J27" s="68"/>
      <c r="K27" s="68"/>
      <c r="L27" s="69"/>
    </row>
    <row r="28" spans="2:12">
      <c r="B28" s="67" t="s">
        <v>372</v>
      </c>
      <c r="C28" s="78">
        <f>Province!C22</f>
        <v>1933.1269312944032</v>
      </c>
      <c r="D28" s="68"/>
      <c r="E28" s="68"/>
      <c r="F28" s="68"/>
      <c r="G28" s="68"/>
      <c r="H28" s="68"/>
      <c r="I28" s="68"/>
      <c r="J28" s="68"/>
      <c r="K28" s="68"/>
      <c r="L28" s="69"/>
    </row>
    <row r="29" spans="2:12">
      <c r="B29" s="67" t="s">
        <v>374</v>
      </c>
      <c r="C29" s="76">
        <f>C27+C28</f>
        <v>3337.1069843552777</v>
      </c>
      <c r="D29" s="68"/>
      <c r="E29" s="68"/>
      <c r="F29" s="68"/>
      <c r="G29" s="68"/>
      <c r="H29" s="68"/>
      <c r="I29" s="68"/>
      <c r="J29" s="68"/>
      <c r="K29" s="68"/>
      <c r="L29" s="69"/>
    </row>
    <row r="30" spans="2:12"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69"/>
    </row>
    <row r="31" spans="2:12">
      <c r="B31" s="313" t="s">
        <v>377</v>
      </c>
      <c r="C31" s="275" t="s">
        <v>270</v>
      </c>
      <c r="D31" s="275" t="s">
        <v>271</v>
      </c>
      <c r="E31" s="275" t="s">
        <v>272</v>
      </c>
      <c r="F31" s="275" t="s">
        <v>273</v>
      </c>
      <c r="G31" s="275" t="s">
        <v>274</v>
      </c>
      <c r="H31" s="275" t="s">
        <v>275</v>
      </c>
      <c r="I31" s="275" t="s">
        <v>276</v>
      </c>
      <c r="J31" s="275" t="s">
        <v>277</v>
      </c>
      <c r="K31" s="275" t="s">
        <v>278</v>
      </c>
      <c r="L31" s="314" t="s">
        <v>279</v>
      </c>
    </row>
    <row r="32" spans="2:12">
      <c r="B32" s="67"/>
      <c r="C32" s="68"/>
      <c r="D32" s="68"/>
      <c r="E32" s="68"/>
      <c r="F32" s="68"/>
      <c r="G32" s="68"/>
      <c r="H32" s="68"/>
      <c r="I32" s="68"/>
      <c r="J32" s="68"/>
      <c r="K32" s="68"/>
      <c r="L32" s="69"/>
    </row>
    <row r="33" spans="2:12">
      <c r="B33" s="67" t="s">
        <v>375</v>
      </c>
      <c r="C33" s="76">
        <f>Province!C31</f>
        <v>2675.6750673582796</v>
      </c>
      <c r="D33" s="76">
        <f>Province!D31</f>
        <v>-30.33800301489066</v>
      </c>
      <c r="E33" s="76">
        <f>Province!E31</f>
        <v>-95.861461709789523</v>
      </c>
      <c r="F33" s="76">
        <f>Province!F31</f>
        <v>-174.75670401446814</v>
      </c>
      <c r="G33" s="76">
        <f>Province!G31</f>
        <v>-405.91008636461004</v>
      </c>
      <c r="H33" s="76">
        <f>Province!H31</f>
        <v>-428.14116360474401</v>
      </c>
      <c r="I33" s="76">
        <f>Province!I31</f>
        <v>-433.78187539753139</v>
      </c>
      <c r="J33" s="76">
        <f>Province!J31</f>
        <v>-448.99849087688176</v>
      </c>
      <c r="K33" s="76">
        <f>Province!K31</f>
        <v>-467.57024376724439</v>
      </c>
      <c r="L33" s="79">
        <f>Province!L31</f>
        <v>-487.33134264114938</v>
      </c>
    </row>
    <row r="34" spans="2:12">
      <c r="B34" s="67" t="s">
        <v>376</v>
      </c>
      <c r="C34" s="76">
        <f>C33</f>
        <v>2675.6750673582796</v>
      </c>
      <c r="D34" s="76">
        <f>C34+D33</f>
        <v>2645.3370643433891</v>
      </c>
      <c r="E34" s="76">
        <f t="shared" ref="E34:L34" si="0">D34+E33</f>
        <v>2549.4756026335995</v>
      </c>
      <c r="F34" s="76">
        <f t="shared" si="0"/>
        <v>2374.7188986191313</v>
      </c>
      <c r="G34" s="76">
        <f t="shared" si="0"/>
        <v>1968.8088122545214</v>
      </c>
      <c r="H34" s="76">
        <f t="shared" si="0"/>
        <v>1540.6676486497774</v>
      </c>
      <c r="I34" s="76">
        <f t="shared" si="0"/>
        <v>1106.8857732522461</v>
      </c>
      <c r="J34" s="76">
        <f t="shared" si="0"/>
        <v>657.88728237536429</v>
      </c>
      <c r="K34" s="76">
        <f t="shared" si="0"/>
        <v>190.3170386081199</v>
      </c>
      <c r="L34" s="79">
        <f t="shared" si="0"/>
        <v>-297.01430403302948</v>
      </c>
    </row>
    <row r="35" spans="2:12">
      <c r="B35" s="67"/>
      <c r="C35" s="68"/>
      <c r="D35" s="68"/>
      <c r="E35" s="68"/>
      <c r="F35" s="68"/>
      <c r="G35" s="68"/>
      <c r="H35" s="68"/>
      <c r="I35" s="68"/>
      <c r="J35" s="68"/>
      <c r="K35" s="68"/>
      <c r="L35" s="69"/>
    </row>
    <row r="36" spans="2:12">
      <c r="B36" s="80" t="s">
        <v>382</v>
      </c>
      <c r="C36" s="81"/>
      <c r="D36" s="81"/>
      <c r="E36" s="81"/>
      <c r="F36" s="81"/>
      <c r="G36" s="81"/>
      <c r="H36" s="81"/>
      <c r="I36" s="81"/>
      <c r="J36" s="81"/>
      <c r="K36" s="81"/>
      <c r="L36" s="82"/>
    </row>
    <row r="37" spans="2:12">
      <c r="B37" s="67"/>
      <c r="C37" s="68"/>
      <c r="D37" s="68"/>
      <c r="E37" s="68"/>
      <c r="F37" s="68"/>
      <c r="G37" s="68"/>
      <c r="H37" s="68"/>
      <c r="I37" s="68"/>
      <c r="J37" s="68"/>
      <c r="K37" s="68"/>
      <c r="L37" s="69"/>
    </row>
    <row r="38" spans="2:12">
      <c r="B38" s="67" t="s">
        <v>380</v>
      </c>
      <c r="C38" s="68"/>
      <c r="D38" s="312">
        <v>0</v>
      </c>
      <c r="E38" s="68"/>
      <c r="F38" s="68"/>
      <c r="G38" s="68"/>
      <c r="H38" s="68"/>
      <c r="I38" s="68"/>
      <c r="J38" s="68"/>
      <c r="K38" s="68"/>
      <c r="L38" s="69"/>
    </row>
    <row r="39" spans="2:12">
      <c r="B39" s="67"/>
      <c r="C39" s="68"/>
      <c r="D39" s="68"/>
      <c r="E39" s="68"/>
      <c r="F39" s="68"/>
      <c r="G39" s="68"/>
      <c r="H39" s="68"/>
      <c r="I39" s="68"/>
      <c r="J39" s="68"/>
      <c r="K39" s="68"/>
      <c r="L39" s="69"/>
    </row>
    <row r="40" spans="2:12">
      <c r="B40" s="70" t="s">
        <v>378</v>
      </c>
      <c r="C40" s="68"/>
      <c r="D40" s="68"/>
      <c r="E40" s="68"/>
      <c r="F40" s="68"/>
      <c r="G40" s="68"/>
      <c r="H40" s="68"/>
      <c r="I40" s="68"/>
      <c r="J40" s="68"/>
      <c r="K40" s="68"/>
      <c r="L40" s="69"/>
    </row>
    <row r="41" spans="2:12">
      <c r="B41" s="67"/>
      <c r="C41" s="68"/>
      <c r="D41" s="68"/>
      <c r="E41" s="68"/>
      <c r="F41" s="68"/>
      <c r="G41" s="68"/>
      <c r="H41" s="68"/>
      <c r="I41" s="68"/>
      <c r="J41" s="68"/>
      <c r="K41" s="68"/>
      <c r="L41" s="69"/>
    </row>
    <row r="42" spans="2:12">
      <c r="B42" s="67" t="s">
        <v>381</v>
      </c>
      <c r="C42" s="68"/>
      <c r="D42" s="68"/>
      <c r="E42" s="68"/>
      <c r="F42" s="68"/>
      <c r="G42" s="312">
        <v>0</v>
      </c>
      <c r="H42" s="68"/>
      <c r="I42" s="68"/>
      <c r="J42" s="68"/>
      <c r="K42" s="68"/>
      <c r="L42" s="69"/>
    </row>
    <row r="43" spans="2:12">
      <c r="B43" s="83"/>
      <c r="C43" s="84"/>
      <c r="D43" s="84"/>
      <c r="E43" s="84"/>
      <c r="F43" s="84"/>
      <c r="G43" s="84"/>
      <c r="H43" s="84"/>
      <c r="I43" s="84"/>
      <c r="J43" s="84"/>
      <c r="K43" s="84"/>
      <c r="L43" s="85"/>
    </row>
  </sheetData>
  <hyperlinks>
    <hyperlink ref="E9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AE129"/>
  <sheetViews>
    <sheetView zoomScaleNormal="100" workbookViewId="0"/>
  </sheetViews>
  <sheetFormatPr defaultRowHeight="12"/>
  <cols>
    <col min="1" max="1" width="9.140625" style="1"/>
    <col min="2" max="2" width="39.5703125" style="2" customWidth="1"/>
    <col min="3" max="13" width="9.140625" style="1"/>
    <col min="14" max="14" width="20.42578125" style="2" customWidth="1"/>
    <col min="15" max="16384" width="9.140625" style="1"/>
  </cols>
  <sheetData>
    <row r="2" spans="2:29">
      <c r="B2" s="283" t="s">
        <v>253</v>
      </c>
      <c r="C2" s="269"/>
      <c r="E2" s="283" t="s">
        <v>171</v>
      </c>
      <c r="F2" s="269"/>
      <c r="G2" s="269"/>
      <c r="I2" s="2"/>
    </row>
    <row r="3" spans="2:29">
      <c r="B3" s="3"/>
      <c r="C3" s="4"/>
      <c r="E3" s="3"/>
      <c r="F3" s="4"/>
      <c r="G3" s="4"/>
      <c r="K3" s="5"/>
      <c r="L3" s="5"/>
      <c r="O3" s="2"/>
    </row>
    <row r="4" spans="2:29">
      <c r="B4" s="6" t="s">
        <v>250</v>
      </c>
      <c r="C4" s="7">
        <f>Summary!D38</f>
        <v>0</v>
      </c>
      <c r="E4" s="6" t="s">
        <v>211</v>
      </c>
      <c r="F4" s="4"/>
      <c r="G4" s="8">
        <v>0.04</v>
      </c>
      <c r="I4" s="5"/>
      <c r="J4" s="2"/>
      <c r="T4" s="2"/>
      <c r="U4" s="5"/>
    </row>
    <row r="5" spans="2:29">
      <c r="B5" s="6" t="s">
        <v>198</v>
      </c>
      <c r="C5" s="9">
        <v>1</v>
      </c>
      <c r="E5" s="6" t="s">
        <v>222</v>
      </c>
      <c r="F5" s="4"/>
      <c r="G5" s="8">
        <v>3.5000000000000003E-2</v>
      </c>
      <c r="T5" s="2"/>
    </row>
    <row r="6" spans="2:29">
      <c r="B6" s="6" t="s">
        <v>229</v>
      </c>
      <c r="C6" s="9">
        <v>1</v>
      </c>
      <c r="D6" s="10"/>
      <c r="E6" s="6" t="s">
        <v>329</v>
      </c>
      <c r="F6" s="4"/>
      <c r="G6" s="8">
        <v>0.04</v>
      </c>
      <c r="H6" s="10"/>
      <c r="I6" s="10"/>
      <c r="J6" s="10"/>
      <c r="L6" s="11"/>
      <c r="T6" s="2"/>
    </row>
    <row r="7" spans="2:29">
      <c r="B7" s="6" t="s">
        <v>252</v>
      </c>
      <c r="C7" s="9">
        <v>1</v>
      </c>
      <c r="O7" s="12"/>
      <c r="Q7" s="2"/>
      <c r="R7" s="12"/>
      <c r="T7" s="2"/>
    </row>
    <row r="8" spans="2:29">
      <c r="B8" s="6" t="s">
        <v>251</v>
      </c>
      <c r="C8" s="7">
        <f>Summary!G42</f>
        <v>0</v>
      </c>
      <c r="D8" s="10"/>
      <c r="E8" s="10"/>
      <c r="F8" s="10"/>
      <c r="G8" s="10"/>
      <c r="H8" s="10"/>
      <c r="I8" s="10"/>
      <c r="J8" s="10"/>
      <c r="K8" s="10"/>
      <c r="L8" s="11"/>
      <c r="O8" s="12"/>
      <c r="Q8" s="2"/>
      <c r="R8" s="12"/>
      <c r="U8" s="5"/>
    </row>
    <row r="9" spans="2:29">
      <c r="B9" s="13" t="s">
        <v>263</v>
      </c>
      <c r="C9" s="14">
        <v>0</v>
      </c>
      <c r="D9" s="10"/>
      <c r="E9" s="10"/>
      <c r="F9" s="10"/>
      <c r="G9" s="10"/>
      <c r="H9" s="10"/>
      <c r="I9" s="10"/>
      <c r="J9" s="10"/>
      <c r="K9" s="10"/>
      <c r="L9" s="11"/>
      <c r="Q9" s="15"/>
      <c r="R9" s="16"/>
      <c r="T9" s="15"/>
      <c r="U9" s="17"/>
      <c r="W9" s="5"/>
      <c r="X9" s="5"/>
      <c r="Y9" s="5"/>
      <c r="Z9" s="17"/>
    </row>
    <row r="10" spans="2:29">
      <c r="B10" s="1"/>
      <c r="L10" s="11"/>
    </row>
    <row r="11" spans="2:29">
      <c r="B11" s="2" t="s">
        <v>214</v>
      </c>
      <c r="C11" s="10">
        <f>Valuation!F8</f>
        <v>0.15</v>
      </c>
      <c r="D11" s="10">
        <f>Valuation!G8</f>
        <v>0.3</v>
      </c>
      <c r="E11" s="10">
        <f>Valuation!H8</f>
        <v>0.44999999999999996</v>
      </c>
      <c r="F11" s="10">
        <f>Valuation!I8</f>
        <v>0.6</v>
      </c>
      <c r="G11" s="10">
        <f>Valuation!J8</f>
        <v>0.6</v>
      </c>
      <c r="H11" s="10">
        <f>G11</f>
        <v>0.6</v>
      </c>
      <c r="I11" s="10">
        <f>H11</f>
        <v>0.6</v>
      </c>
      <c r="J11" s="10">
        <f>I11</f>
        <v>0.6</v>
      </c>
      <c r="K11" s="10">
        <f>J11</f>
        <v>0.6</v>
      </c>
      <c r="L11" s="10">
        <f>K11</f>
        <v>0.6</v>
      </c>
    </row>
    <row r="12" spans="2:29">
      <c r="B12" s="2" t="s">
        <v>10</v>
      </c>
      <c r="C12" s="5">
        <f>Hydro!R44*(1+Province!$G$6)</f>
        <v>776.88</v>
      </c>
      <c r="D12" s="5">
        <f>C12*(1+$G$6)</f>
        <v>807.95519999999999</v>
      </c>
      <c r="E12" s="5">
        <f>D12*(1+$G$6)</f>
        <v>840.27340800000002</v>
      </c>
      <c r="F12" s="5">
        <f>E12*(1+$G$6)</f>
        <v>873.88434432000008</v>
      </c>
      <c r="G12" s="5">
        <f t="shared" ref="G12:K12" si="0">F12*(1+$G$6)</f>
        <v>908.83971809280013</v>
      </c>
      <c r="H12" s="5">
        <f t="shared" si="0"/>
        <v>945.19330681651218</v>
      </c>
      <c r="I12" s="5">
        <f t="shared" si="0"/>
        <v>983.00103908917265</v>
      </c>
      <c r="J12" s="5">
        <f t="shared" si="0"/>
        <v>1022.3210806527396</v>
      </c>
      <c r="K12" s="5">
        <f t="shared" si="0"/>
        <v>1063.2139238788493</v>
      </c>
      <c r="L12" s="5">
        <f>K12*(1+$G$6)</f>
        <v>1105.7424808340033</v>
      </c>
      <c r="R12" s="321" t="s">
        <v>357</v>
      </c>
      <c r="S12" s="322"/>
      <c r="T12" s="18"/>
      <c r="U12" s="19">
        <f>(1-C11)*(Hydro!X44+(1/3*Hydro!Y44))</f>
        <v>-84.49997703893014</v>
      </c>
    </row>
    <row r="14" spans="2:29">
      <c r="B14" s="283" t="s">
        <v>14</v>
      </c>
      <c r="C14" s="284" t="s">
        <v>270</v>
      </c>
      <c r="D14" s="284" t="s">
        <v>271</v>
      </c>
      <c r="E14" s="284" t="s">
        <v>272</v>
      </c>
      <c r="F14" s="284" t="s">
        <v>273</v>
      </c>
      <c r="G14" s="284" t="s">
        <v>274</v>
      </c>
      <c r="H14" s="284" t="s">
        <v>275</v>
      </c>
      <c r="I14" s="284" t="s">
        <v>276</v>
      </c>
      <c r="J14" s="284" t="s">
        <v>277</v>
      </c>
      <c r="K14" s="284" t="s">
        <v>278</v>
      </c>
      <c r="L14" s="284" t="s">
        <v>279</v>
      </c>
      <c r="M14" s="20"/>
      <c r="N14" s="283" t="s">
        <v>294</v>
      </c>
      <c r="O14" s="284" t="s">
        <v>268</v>
      </c>
      <c r="P14" s="284" t="s">
        <v>269</v>
      </c>
      <c r="Q14" s="20"/>
      <c r="R14" s="283" t="s">
        <v>296</v>
      </c>
      <c r="S14" s="284"/>
      <c r="T14" s="284" t="s">
        <v>268</v>
      </c>
      <c r="U14" s="284" t="s">
        <v>269</v>
      </c>
      <c r="V14" s="20"/>
      <c r="W14" s="283" t="s">
        <v>297</v>
      </c>
      <c r="X14" s="284"/>
      <c r="Y14" s="284"/>
      <c r="Z14" s="20"/>
      <c r="AA14" s="283" t="s">
        <v>328</v>
      </c>
      <c r="AB14" s="284"/>
      <c r="AC14" s="284"/>
    </row>
    <row r="15" spans="2:29">
      <c r="C15" s="5"/>
      <c r="D15" s="5"/>
      <c r="E15" s="5"/>
      <c r="F15" s="5"/>
      <c r="G15" s="5"/>
      <c r="H15" s="5"/>
      <c r="I15" s="5"/>
      <c r="J15" s="5"/>
      <c r="K15" s="5"/>
      <c r="L15" s="5"/>
      <c r="R15" s="2"/>
      <c r="W15" s="2"/>
    </row>
    <row r="16" spans="2:29">
      <c r="B16" s="15" t="s">
        <v>163</v>
      </c>
      <c r="C16" s="5"/>
      <c r="D16" s="5"/>
      <c r="E16" s="5"/>
      <c r="F16" s="5"/>
      <c r="G16" s="5"/>
      <c r="H16" s="5"/>
      <c r="I16" s="5"/>
      <c r="J16" s="5"/>
      <c r="K16" s="5"/>
      <c r="L16" s="5"/>
      <c r="N16" s="2" t="s">
        <v>157</v>
      </c>
      <c r="O16" s="5">
        <f>-C11*MIN(Valuation!C22:C24)</f>
        <v>-1654.5904958239812</v>
      </c>
      <c r="P16" s="5">
        <f>-C11*MAX(Valuation!C22:C24)</f>
        <v>-2148.1017753681558</v>
      </c>
      <c r="R16" s="323" t="s">
        <v>226</v>
      </c>
      <c r="S16" s="323"/>
      <c r="T16" s="21">
        <v>4903</v>
      </c>
      <c r="U16" s="21">
        <v>4903</v>
      </c>
      <c r="W16" s="2" t="s">
        <v>236</v>
      </c>
      <c r="Y16" s="5">
        <f>Hydro!AA44-Hydro!V44</f>
        <v>726.86141218749981</v>
      </c>
      <c r="AA16" s="2" t="s">
        <v>389</v>
      </c>
      <c r="AC16" s="5">
        <v>2200</v>
      </c>
    </row>
    <row r="17" spans="2:29">
      <c r="B17" s="2" t="s">
        <v>209</v>
      </c>
      <c r="C17" s="5">
        <f>Valuation!F32</f>
        <v>604.89049582398115</v>
      </c>
      <c r="D17" s="5">
        <f>Valuation!G32</f>
        <v>262.26452763930206</v>
      </c>
      <c r="E17" s="5">
        <f>Valuation!H32</f>
        <v>266.36398040392237</v>
      </c>
      <c r="F17" s="5">
        <f>Valuation!I32</f>
        <v>270.46104919366871</v>
      </c>
      <c r="G17" s="5">
        <f>Valuation!J32</f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N17" s="2" t="s">
        <v>295</v>
      </c>
      <c r="O17" s="22">
        <f>T28</f>
        <v>1676.55</v>
      </c>
      <c r="P17" s="22">
        <f>U28</f>
        <v>1784.55</v>
      </c>
      <c r="R17" s="326" t="s">
        <v>227</v>
      </c>
      <c r="S17" s="326"/>
      <c r="T17" s="23">
        <v>1</v>
      </c>
      <c r="U17" s="23">
        <v>1</v>
      </c>
      <c r="W17" s="2" t="s">
        <v>237</v>
      </c>
      <c r="Y17" s="24">
        <f>-0.058*(U22)</f>
        <v>-218.02200000000002</v>
      </c>
      <c r="AA17" s="2" t="s">
        <v>331</v>
      </c>
      <c r="AC17" s="25">
        <v>0</v>
      </c>
    </row>
    <row r="18" spans="2:29">
      <c r="B18" s="2" t="s">
        <v>193</v>
      </c>
      <c r="C18" s="5">
        <f>(Hydro!AA131)*(0.25+(2/3*0.25))</f>
        <v>9.2500498088541647</v>
      </c>
      <c r="D18" s="5">
        <f>Tax!D38</f>
        <v>0</v>
      </c>
      <c r="E18" s="5">
        <f>Tax!E38</f>
        <v>-7.5317529990570639E-15</v>
      </c>
      <c r="F18" s="5">
        <f>Tax!F38</f>
        <v>1.20508047984913E-14</v>
      </c>
      <c r="G18" s="5">
        <f>Tax!G38</f>
        <v>-1.20508047984913E-14</v>
      </c>
      <c r="H18" s="5">
        <f>Tax!H38</f>
        <v>0</v>
      </c>
      <c r="I18" s="5">
        <f>Tax!I38</f>
        <v>18.810072763236544</v>
      </c>
      <c r="J18" s="5">
        <f>Tax!J38</f>
        <v>29.639706560856965</v>
      </c>
      <c r="K18" s="5">
        <f>Tax!K38</f>
        <v>36.138574873200469</v>
      </c>
      <c r="L18" s="5">
        <f>Tax!L38</f>
        <v>42.472335514045028</v>
      </c>
      <c r="N18" s="2" t="s">
        <v>302</v>
      </c>
      <c r="O18" s="26">
        <v>65</v>
      </c>
      <c r="P18" s="26">
        <v>65</v>
      </c>
      <c r="R18" s="323" t="s">
        <v>285</v>
      </c>
      <c r="S18" s="323"/>
      <c r="T18" s="5">
        <f>T16*T17</f>
        <v>4903</v>
      </c>
      <c r="U18" s="5">
        <f>U16*U17</f>
        <v>4903</v>
      </c>
      <c r="W18" s="2" t="s">
        <v>238</v>
      </c>
      <c r="Y18" s="5">
        <f>Y16+Y17</f>
        <v>508.83941218749976</v>
      </c>
      <c r="AA18" s="2" t="s">
        <v>283</v>
      </c>
      <c r="AC18" s="5">
        <f>AC16-AC17</f>
        <v>2200</v>
      </c>
    </row>
    <row r="19" spans="2:29">
      <c r="B19" s="2" t="s">
        <v>210</v>
      </c>
      <c r="C19" s="5">
        <f>(-Hydro!AA40*Hydro!$AJ$211)*(0.25+(2/3*0.25))+C40</f>
        <v>136.96259043104129</v>
      </c>
      <c r="D19" s="5">
        <f>-Hydro!AB40*Hydro!$AJ$211</f>
        <v>-149.00667384747931</v>
      </c>
      <c r="E19" s="5">
        <f>-Hydro!AC40*Hydro!$AJ$211</f>
        <v>-150.89233021911372</v>
      </c>
      <c r="F19" s="5">
        <f>-Hydro!AD40*Hydro!$AJ$211</f>
        <v>-154.3395003589288</v>
      </c>
      <c r="G19" s="5">
        <f>-Hydro!AE40*Hydro!$AJ$211</f>
        <v>-159.19148309712105</v>
      </c>
      <c r="H19" s="5">
        <f>-Hydro!AF40*Hydro!$AJ$211</f>
        <v>-165.42641428580686</v>
      </c>
      <c r="I19" s="5">
        <f>-Hydro!AG40*Hydro!$AJ$211</f>
        <v>-173.03061194038293</v>
      </c>
      <c r="J19" s="5">
        <f>-Hydro!AH40*Hydro!$AJ$211</f>
        <v>-181.91136687601337</v>
      </c>
      <c r="K19" s="5">
        <f>J19*(1+$G$4)</f>
        <v>-189.18782155105393</v>
      </c>
      <c r="L19" s="5">
        <f>K19*(1+$G$4)</f>
        <v>-196.75533441309608</v>
      </c>
      <c r="N19" s="2" t="s">
        <v>156</v>
      </c>
      <c r="O19" s="22">
        <f>SUM(O16:O18)</f>
        <v>86.959504176018754</v>
      </c>
      <c r="P19" s="22">
        <f>SUM(P16:P18)</f>
        <v>-298.55177536815586</v>
      </c>
      <c r="R19" s="327" t="s">
        <v>286</v>
      </c>
      <c r="S19" s="327"/>
      <c r="T19" s="27">
        <v>-85</v>
      </c>
      <c r="U19" s="28">
        <v>635</v>
      </c>
      <c r="W19" s="2" t="s">
        <v>239</v>
      </c>
      <c r="Y19" s="29">
        <f>AVERAGE(Y40:AC40)</f>
        <v>0.12989587507097186</v>
      </c>
      <c r="AA19" s="2"/>
      <c r="AC19" s="30"/>
    </row>
    <row r="20" spans="2:29">
      <c r="B20" s="2" t="s">
        <v>212</v>
      </c>
      <c r="C20" s="21">
        <f>IF(C5=1,2600,0)</f>
        <v>2600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N20" s="2" t="s">
        <v>299</v>
      </c>
      <c r="O20" s="22">
        <f>-C20</f>
        <v>-2600</v>
      </c>
      <c r="P20" s="22">
        <f>O20</f>
        <v>-2600</v>
      </c>
      <c r="R20" s="324" t="s">
        <v>284</v>
      </c>
      <c r="S20" s="324"/>
      <c r="T20" s="17">
        <f>T18+T19</f>
        <v>4818</v>
      </c>
      <c r="U20" s="17">
        <f>U18+U19</f>
        <v>5538</v>
      </c>
      <c r="W20" s="2" t="s">
        <v>248</v>
      </c>
      <c r="Y20" s="5">
        <f>Y18/Y19</f>
        <v>3917.2869185375025</v>
      </c>
      <c r="AA20" s="2" t="s">
        <v>301</v>
      </c>
      <c r="AC20" s="25">
        <v>3.75</v>
      </c>
    </row>
    <row r="21" spans="2:29">
      <c r="B21" s="2" t="s">
        <v>194</v>
      </c>
      <c r="C21" s="21">
        <f>IF(C8=1,-250,0)</f>
        <v>0</v>
      </c>
      <c r="D21" s="21">
        <f>IF($C$8=1,-600,0)</f>
        <v>0</v>
      </c>
      <c r="E21" s="21">
        <f>IF($C$8=1,-600,0)</f>
        <v>0</v>
      </c>
      <c r="F21" s="21">
        <f>IF($C$8=1,-450,0)</f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N21" s="2" t="s">
        <v>330</v>
      </c>
      <c r="O21" s="26">
        <f>-C40</f>
        <v>-200</v>
      </c>
      <c r="P21" s="26">
        <f>O21</f>
        <v>-200</v>
      </c>
      <c r="R21" s="2"/>
      <c r="W21" s="2" t="s">
        <v>291</v>
      </c>
      <c r="Y21" s="31">
        <f>U27</f>
        <v>0.15</v>
      </c>
      <c r="AA21" s="2" t="s">
        <v>320</v>
      </c>
      <c r="AC21" s="5">
        <f>AC18/AC20</f>
        <v>586.66666666666663</v>
      </c>
    </row>
    <row r="22" spans="2:29">
      <c r="B22" s="2" t="s">
        <v>254</v>
      </c>
      <c r="C22" s="5">
        <f>((-Hydro!V106+Hydro!V94)*(1-C11))-C40</f>
        <v>1933.1269312944032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N22" s="15" t="s">
        <v>159</v>
      </c>
      <c r="O22" s="17">
        <f>SUM(O19:O21)</f>
        <v>-2713.0404958239815</v>
      </c>
      <c r="P22" s="17">
        <f>SUM(P19:P21)</f>
        <v>-3098.5517753681561</v>
      </c>
      <c r="R22" s="323" t="s">
        <v>228</v>
      </c>
      <c r="S22" s="323"/>
      <c r="T22" s="21">
        <v>3759</v>
      </c>
      <c r="U22" s="21">
        <v>3759</v>
      </c>
      <c r="W22" s="15" t="s">
        <v>292</v>
      </c>
      <c r="Y22" s="32">
        <f>Y20*Y21</f>
        <v>587.59303778062531</v>
      </c>
      <c r="AA22" s="2" t="s">
        <v>390</v>
      </c>
      <c r="AC22" s="33">
        <f>7/12</f>
        <v>0.58333333333333337</v>
      </c>
    </row>
    <row r="23" spans="2:29">
      <c r="B23" s="2" t="s">
        <v>255</v>
      </c>
      <c r="C23" s="5">
        <f>-C20</f>
        <v>-2600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N23" s="2" t="s">
        <v>298</v>
      </c>
      <c r="O23" s="5">
        <f>Y28</f>
        <v>1403.6312679560197</v>
      </c>
      <c r="P23" s="5">
        <f>O23</f>
        <v>1403.6312679560197</v>
      </c>
      <c r="R23" s="323" t="s">
        <v>229</v>
      </c>
      <c r="S23" s="323"/>
      <c r="T23" s="24">
        <f>U23</f>
        <v>2600</v>
      </c>
      <c r="U23" s="24">
        <f>-C49</f>
        <v>2600</v>
      </c>
      <c r="W23" s="2"/>
      <c r="AA23" s="2" t="s">
        <v>321</v>
      </c>
      <c r="AC23" s="5">
        <f>AC21*AC22</f>
        <v>342.22222222222223</v>
      </c>
    </row>
    <row r="24" spans="2:29">
      <c r="B24" s="2" t="s">
        <v>213</v>
      </c>
      <c r="C24" s="24">
        <f>(-C11*C12)*(0.25+(2/3*0.25))</f>
        <v>-48.554999999999993</v>
      </c>
      <c r="D24" s="24">
        <f t="shared" ref="D24:L24" si="1">-D11*D12</f>
        <v>-242.38655999999997</v>
      </c>
      <c r="E24" s="24">
        <f t="shared" si="1"/>
        <v>-378.12303359999999</v>
      </c>
      <c r="F24" s="24">
        <f t="shared" si="1"/>
        <v>-524.33060659199998</v>
      </c>
      <c r="G24" s="24">
        <f t="shared" si="1"/>
        <v>-545.30383085568008</v>
      </c>
      <c r="H24" s="24">
        <f t="shared" si="1"/>
        <v>-567.11598408990733</v>
      </c>
      <c r="I24" s="24">
        <f t="shared" si="1"/>
        <v>-589.80062345350359</v>
      </c>
      <c r="J24" s="24">
        <f t="shared" si="1"/>
        <v>-613.39264839164377</v>
      </c>
      <c r="K24" s="24">
        <f t="shared" si="1"/>
        <v>-637.92835432730953</v>
      </c>
      <c r="L24" s="24">
        <f t="shared" si="1"/>
        <v>-663.44548850040201</v>
      </c>
      <c r="N24" s="15" t="s">
        <v>294</v>
      </c>
      <c r="O24" s="32">
        <f>O22+O23</f>
        <v>-1309.4092278679618</v>
      </c>
      <c r="P24" s="32">
        <f>P22+P23</f>
        <v>-1694.9205074121364</v>
      </c>
      <c r="R24" s="324" t="s">
        <v>287</v>
      </c>
      <c r="S24" s="324"/>
      <c r="T24" s="17">
        <f>T22+T23</f>
        <v>6359</v>
      </c>
      <c r="U24" s="17">
        <f>U22+U23</f>
        <v>6359</v>
      </c>
      <c r="W24" s="2" t="s">
        <v>240</v>
      </c>
      <c r="Y24" s="5">
        <f>-(Hydro!T42+Hydro!S42+Hydro!Q42+Hydro!P42)</f>
        <v>106</v>
      </c>
    </row>
    <row r="25" spans="2:29">
      <c r="C25" s="5">
        <f t="shared" ref="C25:L25" si="2">SUM(C17:C24)</f>
        <v>2635.6750673582796</v>
      </c>
      <c r="D25" s="5">
        <f t="shared" si="2"/>
        <v>-129.12870620817722</v>
      </c>
      <c r="E25" s="5">
        <f t="shared" si="2"/>
        <v>-262.65138341519133</v>
      </c>
      <c r="F25" s="5">
        <f t="shared" si="2"/>
        <v>-408.2090577572601</v>
      </c>
      <c r="G25" s="5">
        <f t="shared" si="2"/>
        <v>-704.4953139528011</v>
      </c>
      <c r="H25" s="5">
        <f t="shared" si="2"/>
        <v>-732.54239837571413</v>
      </c>
      <c r="I25" s="5">
        <f t="shared" si="2"/>
        <v>-744.02116263065</v>
      </c>
      <c r="J25" s="5">
        <f t="shared" si="2"/>
        <v>-765.66430870680017</v>
      </c>
      <c r="K25" s="5">
        <f t="shared" si="2"/>
        <v>-790.97760100516302</v>
      </c>
      <c r="L25" s="5">
        <f t="shared" si="2"/>
        <v>-817.72848739945312</v>
      </c>
      <c r="R25" s="2"/>
      <c r="W25" s="2" t="s">
        <v>239</v>
      </c>
      <c r="Y25" s="29">
        <f>Y19</f>
        <v>0.12989587507097186</v>
      </c>
      <c r="AA25" s="2" t="s">
        <v>322</v>
      </c>
      <c r="AC25" s="5">
        <f>AC16</f>
        <v>2200</v>
      </c>
    </row>
    <row r="26" spans="2:29">
      <c r="C26" s="5"/>
      <c r="D26" s="5"/>
      <c r="E26" s="5"/>
      <c r="F26" s="5"/>
      <c r="G26" s="5"/>
      <c r="H26" s="5"/>
      <c r="I26" s="5"/>
      <c r="J26" s="5"/>
      <c r="K26" s="5"/>
      <c r="L26" s="5"/>
      <c r="N26" s="2" t="s">
        <v>319</v>
      </c>
      <c r="O26" s="5">
        <f>AC28</f>
        <v>1857.7777777777778</v>
      </c>
      <c r="P26" s="5">
        <f>O26</f>
        <v>1857.7777777777778</v>
      </c>
      <c r="R26" s="323" t="s">
        <v>288</v>
      </c>
      <c r="S26" s="323"/>
      <c r="T26" s="5">
        <f>T24+T20</f>
        <v>11177</v>
      </c>
      <c r="U26" s="5">
        <f>U24+U20</f>
        <v>11897</v>
      </c>
      <c r="W26" s="15" t="s">
        <v>249</v>
      </c>
      <c r="Y26" s="34">
        <f>Y24/Y25</f>
        <v>816.03823017539435</v>
      </c>
      <c r="AA26" s="2" t="s">
        <v>225</v>
      </c>
      <c r="AC26" s="5">
        <f>-AC23</f>
        <v>-342.22222222222223</v>
      </c>
    </row>
    <row r="27" spans="2:29">
      <c r="B27" s="15" t="s">
        <v>195</v>
      </c>
      <c r="C27" s="35"/>
      <c r="D27" s="21"/>
      <c r="E27" s="21"/>
      <c r="F27" s="21"/>
      <c r="G27" s="21"/>
      <c r="H27" s="21"/>
      <c r="I27" s="21"/>
      <c r="J27" s="21"/>
      <c r="K27" s="21"/>
      <c r="L27" s="21"/>
      <c r="R27" s="323" t="s">
        <v>289</v>
      </c>
      <c r="S27" s="323"/>
      <c r="T27" s="31">
        <f>C11</f>
        <v>0.15</v>
      </c>
      <c r="U27" s="31">
        <f>T27</f>
        <v>0.15</v>
      </c>
      <c r="W27" s="2"/>
    </row>
    <row r="28" spans="2:29" ht="12.75" thickBot="1">
      <c r="B28" s="2" t="s">
        <v>39</v>
      </c>
      <c r="C28" s="24">
        <v>-40</v>
      </c>
      <c r="D28" s="24">
        <f>$G$5*C107</f>
        <v>-98.790703193286561</v>
      </c>
      <c r="E28" s="24">
        <f t="shared" ref="E28:L28" si="3">$G$5*D107</f>
        <v>-166.78992170540181</v>
      </c>
      <c r="F28" s="24">
        <f t="shared" si="3"/>
        <v>-233.45235374279196</v>
      </c>
      <c r="G28" s="24">
        <f t="shared" si="3"/>
        <v>-298.58522758819106</v>
      </c>
      <c r="H28" s="24">
        <f t="shared" si="3"/>
        <v>-304.40123477097012</v>
      </c>
      <c r="I28" s="24">
        <f t="shared" si="3"/>
        <v>-310.2392872331186</v>
      </c>
      <c r="J28" s="24">
        <f t="shared" si="3"/>
        <v>-316.66581782991841</v>
      </c>
      <c r="K28" s="24">
        <f t="shared" si="3"/>
        <v>-323.40735723791863</v>
      </c>
      <c r="L28" s="24">
        <f t="shared" si="3"/>
        <v>-330.39714475830374</v>
      </c>
      <c r="N28" s="309" t="s">
        <v>303</v>
      </c>
      <c r="O28" s="310">
        <f>O24+O26</f>
        <v>548.36854990981601</v>
      </c>
      <c r="P28" s="310">
        <f>P24+P26</f>
        <v>162.8572703656414</v>
      </c>
      <c r="Q28" s="20"/>
      <c r="R28" s="325" t="s">
        <v>290</v>
      </c>
      <c r="S28" s="325"/>
      <c r="T28" s="310">
        <f>T26*T27</f>
        <v>1676.55</v>
      </c>
      <c r="U28" s="310">
        <f>U26*U27</f>
        <v>1784.55</v>
      </c>
      <c r="V28" s="20"/>
      <c r="W28" s="309" t="s">
        <v>293</v>
      </c>
      <c r="X28" s="311"/>
      <c r="Y28" s="310">
        <f>Y22+Y26</f>
        <v>1403.6312679560197</v>
      </c>
      <c r="Z28" s="20"/>
      <c r="AA28" s="309" t="s">
        <v>323</v>
      </c>
      <c r="AB28" s="311"/>
      <c r="AC28" s="310">
        <f>AC25+AC26</f>
        <v>1857.7777777777778</v>
      </c>
    </row>
    <row r="29" spans="2:29" ht="12.75" thickTop="1">
      <c r="C29" s="5">
        <f>C28</f>
        <v>-40</v>
      </c>
      <c r="D29" s="5">
        <f t="shared" ref="D29:L29" si="4">D28</f>
        <v>-98.790703193286561</v>
      </c>
      <c r="E29" s="5">
        <f t="shared" si="4"/>
        <v>-166.78992170540181</v>
      </c>
      <c r="F29" s="5">
        <f t="shared" si="4"/>
        <v>-233.45235374279196</v>
      </c>
      <c r="G29" s="5">
        <f t="shared" si="4"/>
        <v>-298.58522758819106</v>
      </c>
      <c r="H29" s="5">
        <f t="shared" si="4"/>
        <v>-304.40123477097012</v>
      </c>
      <c r="I29" s="5">
        <f t="shared" si="4"/>
        <v>-310.2392872331186</v>
      </c>
      <c r="J29" s="5">
        <f t="shared" si="4"/>
        <v>-316.66581782991841</v>
      </c>
      <c r="K29" s="5">
        <f t="shared" si="4"/>
        <v>-323.40735723791863</v>
      </c>
      <c r="L29" s="5">
        <f t="shared" si="4"/>
        <v>-330.39714475830374</v>
      </c>
    </row>
    <row r="30" spans="2:29">
      <c r="C30" s="5"/>
      <c r="D30" s="5"/>
      <c r="E30" s="5"/>
      <c r="F30" s="5"/>
      <c r="G30" s="5"/>
      <c r="H30" s="5"/>
      <c r="I30" s="5"/>
      <c r="J30" s="5"/>
      <c r="K30" s="5"/>
      <c r="L30" s="5"/>
      <c r="N30" s="283" t="s">
        <v>199</v>
      </c>
      <c r="O30" s="284" t="s">
        <v>317</v>
      </c>
      <c r="P30" s="284" t="s">
        <v>304</v>
      </c>
      <c r="Q30" s="284" t="s">
        <v>305</v>
      </c>
      <c r="R30" s="284" t="s">
        <v>306</v>
      </c>
      <c r="S30" s="284" t="s">
        <v>307</v>
      </c>
      <c r="T30" s="284" t="s">
        <v>308</v>
      </c>
      <c r="U30" s="284" t="s">
        <v>309</v>
      </c>
      <c r="V30" s="284" t="s">
        <v>310</v>
      </c>
      <c r="W30" s="284" t="s">
        <v>311</v>
      </c>
      <c r="X30" s="284" t="s">
        <v>312</v>
      </c>
      <c r="Y30" s="284" t="s">
        <v>318</v>
      </c>
      <c r="Z30" s="284" t="s">
        <v>313</v>
      </c>
      <c r="AA30" s="284" t="s">
        <v>314</v>
      </c>
      <c r="AB30" s="284" t="s">
        <v>315</v>
      </c>
      <c r="AC30" s="284" t="s">
        <v>316</v>
      </c>
    </row>
    <row r="31" spans="2:29" ht="12.75" thickBot="1">
      <c r="B31" s="319" t="s">
        <v>200</v>
      </c>
      <c r="C31" s="320">
        <f t="shared" ref="C31:L31" si="5">C25-C29</f>
        <v>2675.6750673582796</v>
      </c>
      <c r="D31" s="320">
        <f t="shared" si="5"/>
        <v>-30.33800301489066</v>
      </c>
      <c r="E31" s="320">
        <f t="shared" si="5"/>
        <v>-95.861461709789523</v>
      </c>
      <c r="F31" s="320">
        <f t="shared" si="5"/>
        <v>-174.75670401446814</v>
      </c>
      <c r="G31" s="320">
        <f t="shared" si="5"/>
        <v>-405.91008636461004</v>
      </c>
      <c r="H31" s="320">
        <f t="shared" si="5"/>
        <v>-428.14116360474401</v>
      </c>
      <c r="I31" s="320">
        <f t="shared" si="5"/>
        <v>-433.78187539753139</v>
      </c>
      <c r="J31" s="320">
        <f t="shared" si="5"/>
        <v>-448.99849087688176</v>
      </c>
      <c r="K31" s="320">
        <f t="shared" si="5"/>
        <v>-467.57024376724439</v>
      </c>
      <c r="L31" s="320">
        <f t="shared" si="5"/>
        <v>-487.33134264114938</v>
      </c>
    </row>
    <row r="32" spans="2:29" ht="12.75" thickTop="1">
      <c r="C32" s="5"/>
      <c r="D32" s="5"/>
      <c r="E32" s="5"/>
      <c r="F32" s="5"/>
      <c r="G32" s="5"/>
      <c r="H32" s="5"/>
      <c r="I32" s="5"/>
      <c r="J32" s="5"/>
      <c r="K32" s="5"/>
      <c r="L32" s="5"/>
      <c r="N32" s="2" t="s">
        <v>230</v>
      </c>
      <c r="O32" s="37">
        <v>889</v>
      </c>
      <c r="P32" s="37">
        <v>907</v>
      </c>
      <c r="Q32" s="37">
        <v>387</v>
      </c>
      <c r="R32" s="37">
        <v>711</v>
      </c>
      <c r="S32" s="37">
        <v>627</v>
      </c>
      <c r="T32" s="37">
        <v>511</v>
      </c>
      <c r="U32" s="37">
        <v>949</v>
      </c>
      <c r="V32" s="37">
        <v>757</v>
      </c>
      <c r="W32" s="37">
        <v>546</v>
      </c>
      <c r="X32" s="37">
        <v>830</v>
      </c>
      <c r="Y32" s="37">
        <v>516</v>
      </c>
      <c r="Z32" s="37">
        <v>321</v>
      </c>
      <c r="AA32" s="37">
        <v>367</v>
      </c>
      <c r="AB32" s="37">
        <v>324</v>
      </c>
      <c r="AC32" s="37">
        <v>543</v>
      </c>
    </row>
    <row r="33" spans="1:31">
      <c r="B33" s="2" t="s">
        <v>155</v>
      </c>
      <c r="C33" s="5">
        <f>C31</f>
        <v>2675.6750673582796</v>
      </c>
      <c r="D33" s="5">
        <f t="shared" ref="D33:L33" si="6">C33+D31</f>
        <v>2645.3370643433891</v>
      </c>
      <c r="E33" s="5">
        <f t="shared" si="6"/>
        <v>2549.4756026335995</v>
      </c>
      <c r="F33" s="5">
        <f t="shared" si="6"/>
        <v>2374.7188986191313</v>
      </c>
      <c r="G33" s="5">
        <f t="shared" si="6"/>
        <v>1968.8088122545214</v>
      </c>
      <c r="H33" s="5">
        <f t="shared" si="6"/>
        <v>1540.6676486497774</v>
      </c>
      <c r="I33" s="5">
        <f t="shared" si="6"/>
        <v>1106.8857732522461</v>
      </c>
      <c r="J33" s="5">
        <f t="shared" si="6"/>
        <v>657.88728237536429</v>
      </c>
      <c r="K33" s="5">
        <f t="shared" si="6"/>
        <v>190.3170386081199</v>
      </c>
      <c r="L33" s="5">
        <f t="shared" si="6"/>
        <v>-297.01430403302948</v>
      </c>
      <c r="N33" s="2" t="s">
        <v>231</v>
      </c>
      <c r="O33" s="38">
        <v>383</v>
      </c>
      <c r="P33" s="38">
        <v>263</v>
      </c>
      <c r="Q33" s="38">
        <v>0</v>
      </c>
      <c r="R33" s="38">
        <v>197</v>
      </c>
      <c r="S33" s="38">
        <v>0</v>
      </c>
      <c r="T33" s="38">
        <v>0</v>
      </c>
      <c r="U33" s="38">
        <v>0</v>
      </c>
      <c r="V33" s="38">
        <v>67</v>
      </c>
      <c r="W33" s="38">
        <v>422</v>
      </c>
      <c r="X33" s="38">
        <v>0</v>
      </c>
      <c r="Y33" s="38">
        <v>644</v>
      </c>
      <c r="Z33" s="38">
        <v>771</v>
      </c>
      <c r="AA33" s="38">
        <v>495</v>
      </c>
      <c r="AB33" s="38">
        <v>516</v>
      </c>
      <c r="AC33" s="38">
        <v>599</v>
      </c>
    </row>
    <row r="34" spans="1:31">
      <c r="C34" s="5"/>
      <c r="D34" s="5"/>
      <c r="E34" s="5"/>
      <c r="F34" s="5"/>
      <c r="G34" s="5"/>
      <c r="H34" s="5"/>
      <c r="I34" s="5"/>
      <c r="J34" s="5"/>
      <c r="K34" s="5"/>
      <c r="L34" s="5"/>
      <c r="N34" s="2" t="s">
        <v>14</v>
      </c>
      <c r="O34" s="37">
        <f>O32+O33</f>
        <v>1272</v>
      </c>
      <c r="P34" s="37">
        <f t="shared" ref="P34:AB34" si="7">P32+P33</f>
        <v>1170</v>
      </c>
      <c r="Q34" s="37">
        <f t="shared" si="7"/>
        <v>387</v>
      </c>
      <c r="R34" s="37">
        <f t="shared" si="7"/>
        <v>908</v>
      </c>
      <c r="S34" s="37">
        <f t="shared" si="7"/>
        <v>627</v>
      </c>
      <c r="T34" s="37">
        <f t="shared" si="7"/>
        <v>511</v>
      </c>
      <c r="U34" s="37">
        <f t="shared" si="7"/>
        <v>949</v>
      </c>
      <c r="V34" s="37">
        <f t="shared" si="7"/>
        <v>824</v>
      </c>
      <c r="W34" s="37">
        <f t="shared" si="7"/>
        <v>968</v>
      </c>
      <c r="X34" s="37">
        <f t="shared" si="7"/>
        <v>830</v>
      </c>
      <c r="Y34" s="37">
        <f t="shared" si="7"/>
        <v>1160</v>
      </c>
      <c r="Z34" s="37">
        <f t="shared" si="7"/>
        <v>1092</v>
      </c>
      <c r="AA34" s="37">
        <f t="shared" si="7"/>
        <v>862</v>
      </c>
      <c r="AB34" s="37">
        <f t="shared" si="7"/>
        <v>840</v>
      </c>
      <c r="AC34" s="37">
        <f>AC32+AC33</f>
        <v>1142</v>
      </c>
    </row>
    <row r="35" spans="1:31">
      <c r="B35" s="283" t="s">
        <v>27</v>
      </c>
      <c r="C35" s="284" t="s">
        <v>270</v>
      </c>
      <c r="D35" s="284" t="s">
        <v>271</v>
      </c>
      <c r="E35" s="284" t="s">
        <v>272</v>
      </c>
      <c r="F35" s="284" t="s">
        <v>273</v>
      </c>
      <c r="G35" s="284" t="s">
        <v>274</v>
      </c>
      <c r="H35" s="284" t="s">
        <v>275</v>
      </c>
      <c r="I35" s="284" t="s">
        <v>276</v>
      </c>
      <c r="J35" s="284" t="s">
        <v>277</v>
      </c>
      <c r="K35" s="284" t="s">
        <v>278</v>
      </c>
      <c r="L35" s="284" t="s">
        <v>279</v>
      </c>
      <c r="AE35" s="39"/>
    </row>
    <row r="36" spans="1:31">
      <c r="C36" s="5"/>
      <c r="D36" s="5"/>
      <c r="E36" s="5"/>
      <c r="F36" s="5"/>
      <c r="G36" s="5"/>
      <c r="H36" s="5"/>
      <c r="I36" s="5"/>
      <c r="J36" s="5"/>
      <c r="K36" s="5"/>
      <c r="L36" s="5"/>
      <c r="N36" s="2" t="s">
        <v>232</v>
      </c>
      <c r="O36" s="39">
        <v>20.033999999999999</v>
      </c>
      <c r="P36" s="39">
        <v>20.015999999999998</v>
      </c>
      <c r="Q36" s="39">
        <v>20.085000000000001</v>
      </c>
      <c r="R36" s="39">
        <v>20.183</v>
      </c>
      <c r="S36" s="39">
        <v>20.55</v>
      </c>
      <c r="T36" s="39">
        <v>20.363</v>
      </c>
      <c r="U36" s="39">
        <v>19.292999999999999</v>
      </c>
      <c r="V36" s="39">
        <v>18.289000000000001</v>
      </c>
      <c r="W36" s="39">
        <v>17.225000000000001</v>
      </c>
      <c r="X36" s="39">
        <v>16.181999999999999</v>
      </c>
      <c r="Y36" s="39">
        <v>14.81</v>
      </c>
      <c r="Z36" s="39">
        <v>13.448</v>
      </c>
      <c r="AA36" s="39">
        <v>12.321</v>
      </c>
      <c r="AB36" s="39">
        <v>11.257</v>
      </c>
      <c r="AC36" s="39">
        <v>9.7810000000000006</v>
      </c>
    </row>
    <row r="37" spans="1:31">
      <c r="B37" s="15" t="s">
        <v>216</v>
      </c>
      <c r="C37" s="5"/>
      <c r="D37" s="5"/>
      <c r="E37" s="5"/>
      <c r="F37" s="5"/>
      <c r="G37" s="5"/>
      <c r="H37" s="5"/>
      <c r="I37" s="5"/>
      <c r="J37" s="5"/>
      <c r="K37" s="5"/>
      <c r="L37" s="5"/>
      <c r="N37" s="2" t="s">
        <v>233</v>
      </c>
      <c r="O37" s="40">
        <v>5.9</v>
      </c>
      <c r="P37" s="40">
        <v>6.3</v>
      </c>
      <c r="Q37" s="40">
        <v>7.7</v>
      </c>
      <c r="R37" s="40">
        <v>7.5</v>
      </c>
      <c r="S37" s="40">
        <v>11.9</v>
      </c>
      <c r="T37" s="40">
        <v>9.9</v>
      </c>
      <c r="U37" s="40">
        <v>8.5</v>
      </c>
      <c r="V37" s="40">
        <v>7.6</v>
      </c>
      <c r="W37" s="40">
        <v>6.7</v>
      </c>
      <c r="X37" s="40">
        <v>5.6</v>
      </c>
      <c r="Y37" s="40">
        <v>5.4</v>
      </c>
      <c r="Z37" s="40">
        <v>5.8</v>
      </c>
      <c r="AA37" s="40">
        <v>4.5</v>
      </c>
      <c r="AB37" s="40">
        <v>3.9</v>
      </c>
      <c r="AC37" s="40">
        <v>2.6</v>
      </c>
    </row>
    <row r="38" spans="1:31">
      <c r="B38" s="15" t="s">
        <v>383</v>
      </c>
      <c r="C38" s="5">
        <f>Valuation!F15</f>
        <v>1654.5904958239812</v>
      </c>
      <c r="D38" s="5">
        <f>Valuation!G15</f>
        <v>1687.6823057404611</v>
      </c>
      <c r="E38" s="5">
        <f>Valuation!H15</f>
        <v>1721.4359518552703</v>
      </c>
      <c r="F38" s="5">
        <f>Valuation!I15</f>
        <v>1755.8646708923759</v>
      </c>
      <c r="G38" s="5">
        <f>Valuation!J15</f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N38" s="2" t="s">
        <v>234</v>
      </c>
      <c r="O38" s="39">
        <f>O36-O37</f>
        <v>14.133999999999999</v>
      </c>
      <c r="P38" s="39">
        <f t="shared" ref="P38:AC38" si="8">P36-P37</f>
        <v>13.715999999999998</v>
      </c>
      <c r="Q38" s="39">
        <f t="shared" si="8"/>
        <v>12.385000000000002</v>
      </c>
      <c r="R38" s="39">
        <f t="shared" si="8"/>
        <v>12.683</v>
      </c>
      <c r="S38" s="39">
        <f t="shared" si="8"/>
        <v>8.65</v>
      </c>
      <c r="T38" s="39">
        <f t="shared" si="8"/>
        <v>10.462999999999999</v>
      </c>
      <c r="U38" s="39">
        <f t="shared" si="8"/>
        <v>10.792999999999999</v>
      </c>
      <c r="V38" s="39">
        <f t="shared" si="8"/>
        <v>10.689000000000002</v>
      </c>
      <c r="W38" s="39">
        <f t="shared" si="8"/>
        <v>10.525000000000002</v>
      </c>
      <c r="X38" s="39">
        <f t="shared" si="8"/>
        <v>10.581999999999999</v>
      </c>
      <c r="Y38" s="39">
        <f t="shared" si="8"/>
        <v>9.41</v>
      </c>
      <c r="Z38" s="39">
        <f t="shared" si="8"/>
        <v>7.6480000000000006</v>
      </c>
      <c r="AA38" s="39">
        <f t="shared" si="8"/>
        <v>7.8209999999999997</v>
      </c>
      <c r="AB38" s="39">
        <f t="shared" si="8"/>
        <v>7.3569999999999993</v>
      </c>
      <c r="AC38" s="39">
        <f t="shared" si="8"/>
        <v>7.1810000000000009</v>
      </c>
    </row>
    <row r="39" spans="1:31">
      <c r="B39" s="2" t="s">
        <v>212</v>
      </c>
      <c r="C39" s="5">
        <f t="shared" ref="C39:L39" si="9">C20</f>
        <v>2600</v>
      </c>
      <c r="D39" s="5">
        <f t="shared" si="9"/>
        <v>0</v>
      </c>
      <c r="E39" s="5">
        <f t="shared" si="9"/>
        <v>0</v>
      </c>
      <c r="F39" s="5">
        <f t="shared" si="9"/>
        <v>0</v>
      </c>
      <c r="G39" s="5">
        <f t="shared" si="9"/>
        <v>0</v>
      </c>
      <c r="H39" s="5">
        <f t="shared" si="9"/>
        <v>0</v>
      </c>
      <c r="I39" s="5">
        <f t="shared" si="9"/>
        <v>0</v>
      </c>
      <c r="J39" s="5">
        <f t="shared" si="9"/>
        <v>0</v>
      </c>
      <c r="K39" s="5">
        <f t="shared" si="9"/>
        <v>0</v>
      </c>
      <c r="L39" s="5">
        <f t="shared" si="9"/>
        <v>0</v>
      </c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</row>
    <row r="40" spans="1:31">
      <c r="B40" s="2" t="s">
        <v>332</v>
      </c>
      <c r="C40" s="5">
        <f>-Hydro!V69</f>
        <v>200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N40" s="2" t="s">
        <v>235</v>
      </c>
      <c r="O40" s="42">
        <f t="shared" ref="O40:AC40" si="10">O34/(O38*1000)</f>
        <v>8.9995754917220894E-2</v>
      </c>
      <c r="P40" s="42">
        <f t="shared" si="10"/>
        <v>8.5301837270341213E-2</v>
      </c>
      <c r="Q40" s="42">
        <f t="shared" si="10"/>
        <v>3.1247476786435198E-2</v>
      </c>
      <c r="R40" s="42">
        <f t="shared" si="10"/>
        <v>7.1591894662146174E-2</v>
      </c>
      <c r="S40" s="42">
        <f t="shared" si="10"/>
        <v>7.2485549132947982E-2</v>
      </c>
      <c r="T40" s="42">
        <f t="shared" si="10"/>
        <v>4.8838765172512663E-2</v>
      </c>
      <c r="U40" s="42">
        <f t="shared" si="10"/>
        <v>8.7927360326137308E-2</v>
      </c>
      <c r="V40" s="42">
        <f t="shared" si="10"/>
        <v>7.7088595752642888E-2</v>
      </c>
      <c r="W40" s="42">
        <f t="shared" si="10"/>
        <v>9.1971496437054615E-2</v>
      </c>
      <c r="X40" s="42">
        <f t="shared" si="10"/>
        <v>7.8435078435078451E-2</v>
      </c>
      <c r="Y40" s="43">
        <f t="shared" si="10"/>
        <v>0.12327311370882041</v>
      </c>
      <c r="Z40" s="44">
        <f t="shared" si="10"/>
        <v>0.14278242677824265</v>
      </c>
      <c r="AA40" s="44">
        <f t="shared" si="10"/>
        <v>0.11021608489962921</v>
      </c>
      <c r="AB40" s="44">
        <f t="shared" si="10"/>
        <v>0.1141769743101808</v>
      </c>
      <c r="AC40" s="45">
        <f t="shared" si="10"/>
        <v>0.15903077565798635</v>
      </c>
    </row>
    <row r="41" spans="1:31">
      <c r="B41" s="2" t="s">
        <v>217</v>
      </c>
      <c r="C41" s="22">
        <f>-Hydro!W114</f>
        <v>809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</row>
    <row r="42" spans="1:31">
      <c r="B42" s="2" t="s">
        <v>256</v>
      </c>
      <c r="C42" s="22">
        <f t="shared" ref="C42:L42" si="11">IF(C105&lt;0,-C105,0)</f>
        <v>0</v>
      </c>
      <c r="D42" s="22">
        <f t="shared" si="11"/>
        <v>0</v>
      </c>
      <c r="E42" s="22">
        <f t="shared" si="11"/>
        <v>0</v>
      </c>
      <c r="F42" s="22">
        <f t="shared" si="11"/>
        <v>0</v>
      </c>
      <c r="G42" s="22">
        <f t="shared" si="11"/>
        <v>0</v>
      </c>
      <c r="H42" s="22">
        <f t="shared" si="11"/>
        <v>0</v>
      </c>
      <c r="I42" s="22">
        <f t="shared" si="11"/>
        <v>0</v>
      </c>
      <c r="J42" s="22">
        <f t="shared" si="11"/>
        <v>0</v>
      </c>
      <c r="K42" s="22">
        <f t="shared" si="11"/>
        <v>0</v>
      </c>
      <c r="L42" s="22">
        <f t="shared" si="11"/>
        <v>0</v>
      </c>
      <c r="N42" s="2" t="s">
        <v>300</v>
      </c>
      <c r="O42" s="46">
        <f>AVERAGE(P42:AC42)</f>
        <v>-3.5692658186590835E-2</v>
      </c>
      <c r="P42" s="42">
        <f t="shared" ref="P42:AC42" si="12">P37/O37-1</f>
        <v>6.7796610169491345E-2</v>
      </c>
      <c r="Q42" s="42">
        <f t="shared" si="12"/>
        <v>0.22222222222222232</v>
      </c>
      <c r="R42" s="42">
        <f t="shared" si="12"/>
        <v>-2.5974025974025983E-2</v>
      </c>
      <c r="S42" s="42">
        <f t="shared" si="12"/>
        <v>0.58666666666666667</v>
      </c>
      <c r="T42" s="42">
        <f t="shared" si="12"/>
        <v>-0.16806722689075626</v>
      </c>
      <c r="U42" s="42">
        <f t="shared" si="12"/>
        <v>-0.14141414141414144</v>
      </c>
      <c r="V42" s="42">
        <f t="shared" si="12"/>
        <v>-0.10588235294117654</v>
      </c>
      <c r="W42" s="42">
        <f t="shared" si="12"/>
        <v>-0.11842105263157887</v>
      </c>
      <c r="X42" s="42">
        <f t="shared" si="12"/>
        <v>-0.16417910447761197</v>
      </c>
      <c r="Y42" s="42">
        <f t="shared" si="12"/>
        <v>-3.5714285714285587E-2</v>
      </c>
      <c r="Z42" s="42">
        <f t="shared" si="12"/>
        <v>7.4074074074073959E-2</v>
      </c>
      <c r="AA42" s="42">
        <f t="shared" si="12"/>
        <v>-0.22413793103448276</v>
      </c>
      <c r="AB42" s="42">
        <f t="shared" si="12"/>
        <v>-0.1333333333333333</v>
      </c>
      <c r="AC42" s="42">
        <f t="shared" si="12"/>
        <v>-0.33333333333333326</v>
      </c>
    </row>
    <row r="43" spans="1:31">
      <c r="B43" s="2" t="s">
        <v>193</v>
      </c>
      <c r="C43" s="22">
        <f t="shared" ref="C43:L43" si="13">C18</f>
        <v>9.2500498088541647</v>
      </c>
      <c r="D43" s="22">
        <f t="shared" si="13"/>
        <v>0</v>
      </c>
      <c r="E43" s="22">
        <f t="shared" si="13"/>
        <v>-7.5317529990570639E-15</v>
      </c>
      <c r="F43" s="22">
        <f t="shared" si="13"/>
        <v>1.20508047984913E-14</v>
      </c>
      <c r="G43" s="22">
        <f t="shared" si="13"/>
        <v>-1.20508047984913E-14</v>
      </c>
      <c r="H43" s="22">
        <f t="shared" si="13"/>
        <v>0</v>
      </c>
      <c r="I43" s="22">
        <f t="shared" si="13"/>
        <v>18.810072763236544</v>
      </c>
      <c r="J43" s="22">
        <f t="shared" si="13"/>
        <v>29.639706560856965</v>
      </c>
      <c r="K43" s="22">
        <f t="shared" si="13"/>
        <v>36.138574873200469</v>
      </c>
      <c r="L43" s="22">
        <f t="shared" si="13"/>
        <v>42.472335514045028</v>
      </c>
    </row>
    <row r="44" spans="1:31">
      <c r="A44" s="5"/>
      <c r="B44" s="2" t="s">
        <v>20</v>
      </c>
      <c r="C44" s="22">
        <f>((1-$C$11)*((Hydro!$AA$44-Hydro!$V$44)*Hydro!$AI$213))*(0.25+(2/3*0.25))</f>
        <v>193.07256261230461</v>
      </c>
      <c r="D44" s="22">
        <f>-(1-D11)*Hydro!AB64</f>
        <v>409.97059257123004</v>
      </c>
      <c r="E44" s="22">
        <f>-(1-E11)*Hydro!AC64</f>
        <v>326.19612685207875</v>
      </c>
      <c r="F44" s="22">
        <f>-(1-F11)*Hydro!AD64</f>
        <v>242.65320197887615</v>
      </c>
      <c r="G44" s="22">
        <f>-(1-G11)*Hydro!AE64</f>
        <v>250.28150934433071</v>
      </c>
      <c r="H44" s="22">
        <f>-(1-H11)*Hydro!AF64</f>
        <v>260.08409399397732</v>
      </c>
      <c r="I44" s="22">
        <f>-(1-I11)*Hydro!AG64</f>
        <v>257.93189048250332</v>
      </c>
      <c r="J44" s="22">
        <f>-(1-J11)*Hydro!AH64</f>
        <v>263.77202484200342</v>
      </c>
      <c r="K44" s="22">
        <f>J44*(1+$G$4)</f>
        <v>274.32290583568357</v>
      </c>
      <c r="L44" s="22">
        <f>K44*(1+$G$4)</f>
        <v>285.2958220691109</v>
      </c>
      <c r="N44" s="283" t="s">
        <v>199</v>
      </c>
      <c r="O44" s="284">
        <v>2016</v>
      </c>
      <c r="P44" s="284">
        <f>O44+1</f>
        <v>2017</v>
      </c>
      <c r="Q44" s="284">
        <f>P44+1</f>
        <v>2018</v>
      </c>
      <c r="R44" s="284">
        <f>Q44+1</f>
        <v>2019</v>
      </c>
      <c r="S44" s="284">
        <f>R44+1</f>
        <v>2020</v>
      </c>
      <c r="T44" s="20"/>
      <c r="U44" s="283" t="s">
        <v>246</v>
      </c>
      <c r="V44" s="284"/>
      <c r="W44" s="284">
        <v>2016</v>
      </c>
      <c r="X44" s="284">
        <f>W44+1</f>
        <v>2017</v>
      </c>
      <c r="Y44" s="284">
        <f>X44+1</f>
        <v>2018</v>
      </c>
      <c r="Z44" s="284">
        <f>Y44+1</f>
        <v>2019</v>
      </c>
      <c r="AA44" s="284">
        <f>Z44+1</f>
        <v>2020</v>
      </c>
      <c r="AB44" s="20"/>
      <c r="AC44" s="284" t="s">
        <v>117</v>
      </c>
    </row>
    <row r="45" spans="1:31">
      <c r="B45" s="2" t="s">
        <v>39</v>
      </c>
      <c r="C45" s="24">
        <f t="shared" ref="C45:L45" si="14">-C28</f>
        <v>40</v>
      </c>
      <c r="D45" s="24">
        <f t="shared" si="14"/>
        <v>98.790703193286561</v>
      </c>
      <c r="E45" s="24">
        <f t="shared" si="14"/>
        <v>166.78992170540181</v>
      </c>
      <c r="F45" s="24">
        <f t="shared" si="14"/>
        <v>233.45235374279196</v>
      </c>
      <c r="G45" s="24">
        <f t="shared" si="14"/>
        <v>298.58522758819106</v>
      </c>
      <c r="H45" s="24">
        <f t="shared" si="14"/>
        <v>304.40123477097012</v>
      </c>
      <c r="I45" s="24">
        <f t="shared" si="14"/>
        <v>310.2392872331186</v>
      </c>
      <c r="J45" s="24">
        <f t="shared" si="14"/>
        <v>316.66581782991841</v>
      </c>
      <c r="K45" s="24">
        <f t="shared" si="14"/>
        <v>323.40735723791863</v>
      </c>
      <c r="L45" s="24">
        <f t="shared" si="14"/>
        <v>330.39714475830374</v>
      </c>
      <c r="U45" s="2"/>
    </row>
    <row r="46" spans="1:31">
      <c r="C46" s="5">
        <f>SUM(C38:C44)</f>
        <v>5465.9131082451395</v>
      </c>
      <c r="D46" s="5">
        <f t="shared" ref="D46:L46" si="15">SUM(D38:D45)</f>
        <v>2196.4436015049773</v>
      </c>
      <c r="E46" s="5">
        <f t="shared" si="15"/>
        <v>2214.422000412751</v>
      </c>
      <c r="F46" s="5">
        <f t="shared" si="15"/>
        <v>2231.9702266140439</v>
      </c>
      <c r="G46" s="5">
        <f t="shared" si="15"/>
        <v>548.8667369325218</v>
      </c>
      <c r="H46" s="5">
        <f t="shared" si="15"/>
        <v>564.48532876494744</v>
      </c>
      <c r="I46" s="5">
        <f t="shared" si="15"/>
        <v>586.98125047885844</v>
      </c>
      <c r="J46" s="5">
        <f t="shared" si="15"/>
        <v>610.07754923277878</v>
      </c>
      <c r="K46" s="5">
        <f t="shared" si="15"/>
        <v>633.86883794680261</v>
      </c>
      <c r="L46" s="5">
        <f t="shared" si="15"/>
        <v>658.16530234145966</v>
      </c>
      <c r="N46" s="2" t="s">
        <v>157</v>
      </c>
      <c r="O46" s="22">
        <f>C38</f>
        <v>1654.5904958239812</v>
      </c>
      <c r="P46" s="22">
        <f>D38</f>
        <v>1687.6823057404611</v>
      </c>
      <c r="Q46" s="22">
        <f>E38</f>
        <v>1721.4359518552703</v>
      </c>
      <c r="R46" s="22">
        <f>F38</f>
        <v>1755.8646708923759</v>
      </c>
      <c r="S46" s="22">
        <f>G38</f>
        <v>0</v>
      </c>
      <c r="U46" s="2" t="s">
        <v>157</v>
      </c>
      <c r="W46" s="5">
        <f>O46</f>
        <v>1654.5904958239812</v>
      </c>
      <c r="X46" s="5">
        <f>P46</f>
        <v>1687.6823057404611</v>
      </c>
      <c r="Y46" s="5">
        <f>Q46</f>
        <v>1721.4359518552703</v>
      </c>
      <c r="Z46" s="5">
        <f>R46</f>
        <v>1755.8646708923759</v>
      </c>
      <c r="AA46" s="5">
        <f>S46</f>
        <v>0</v>
      </c>
      <c r="AC46" s="5">
        <f>SUM(W46:Z46)</f>
        <v>6819.5734243120887</v>
      </c>
    </row>
    <row r="47" spans="1:31">
      <c r="C47" s="5"/>
      <c r="D47" s="5"/>
      <c r="E47" s="5"/>
      <c r="F47" s="5"/>
      <c r="G47" s="5"/>
      <c r="H47" s="5"/>
      <c r="I47" s="5"/>
      <c r="J47" s="5"/>
      <c r="K47" s="5"/>
      <c r="L47" s="5"/>
      <c r="N47" s="2" t="s">
        <v>219</v>
      </c>
      <c r="O47" s="24">
        <f>-AVERAGE(T28:U28)-O18</f>
        <v>-1795.55</v>
      </c>
      <c r="P47" s="24">
        <f>O47</f>
        <v>-1795.55</v>
      </c>
      <c r="Q47" s="24">
        <f>P47</f>
        <v>-1795.55</v>
      </c>
      <c r="R47" s="24">
        <f>Q47</f>
        <v>-1795.55</v>
      </c>
      <c r="S47" s="24">
        <v>0</v>
      </c>
      <c r="U47" s="2" t="s">
        <v>247</v>
      </c>
      <c r="W47" s="24">
        <f>Valuation!F30</f>
        <v>-1049.7</v>
      </c>
      <c r="X47" s="24">
        <f>Valuation!G30</f>
        <v>-1425.417778101159</v>
      </c>
      <c r="Y47" s="24">
        <f>Valuation!H30</f>
        <v>-1455.071971451348</v>
      </c>
      <c r="Z47" s="24">
        <f>Valuation!I30</f>
        <v>-1485.4036216987072</v>
      </c>
      <c r="AA47" s="24">
        <f>Valuation!J30</f>
        <v>0</v>
      </c>
      <c r="AC47" s="5">
        <f>SUM(W47:Z47)</f>
        <v>-5415.5933712512142</v>
      </c>
    </row>
    <row r="48" spans="1:31">
      <c r="B48" s="15" t="s">
        <v>218</v>
      </c>
      <c r="C48" s="5"/>
      <c r="D48" s="5"/>
      <c r="E48" s="5"/>
      <c r="F48" s="5"/>
      <c r="G48" s="5"/>
      <c r="H48" s="5"/>
      <c r="I48" s="5"/>
      <c r="J48" s="5"/>
      <c r="K48" s="5"/>
      <c r="L48" s="5"/>
      <c r="O48" s="22"/>
      <c r="P48" s="22"/>
      <c r="Q48" s="22"/>
      <c r="R48" s="22"/>
      <c r="S48" s="22"/>
      <c r="U48" s="2"/>
      <c r="W48" s="22"/>
      <c r="X48" s="22"/>
      <c r="Y48" s="22"/>
      <c r="Z48" s="22"/>
      <c r="AA48" s="22"/>
      <c r="AE48" s="5"/>
    </row>
    <row r="49" spans="2:31">
      <c r="B49" s="2" t="s">
        <v>215</v>
      </c>
      <c r="C49" s="5">
        <f>IF(C6=1,-2600,0)</f>
        <v>-2600</v>
      </c>
      <c r="D49" s="5">
        <f t="shared" ref="D49:L49" si="16">-D27</f>
        <v>0</v>
      </c>
      <c r="E49" s="5">
        <f t="shared" si="16"/>
        <v>0</v>
      </c>
      <c r="F49" s="5">
        <f t="shared" si="16"/>
        <v>0</v>
      </c>
      <c r="G49" s="5">
        <f t="shared" si="16"/>
        <v>0</v>
      </c>
      <c r="H49" s="5">
        <f t="shared" si="16"/>
        <v>0</v>
      </c>
      <c r="I49" s="5">
        <f t="shared" si="16"/>
        <v>0</v>
      </c>
      <c r="J49" s="5">
        <f t="shared" si="16"/>
        <v>0</v>
      </c>
      <c r="K49" s="5">
        <f t="shared" si="16"/>
        <v>0</v>
      </c>
      <c r="L49" s="5">
        <f t="shared" si="16"/>
        <v>0</v>
      </c>
      <c r="N49" s="2" t="s">
        <v>156</v>
      </c>
      <c r="O49" s="5">
        <f>O46+O47</f>
        <v>-140.95950417601875</v>
      </c>
      <c r="P49" s="5">
        <f>P46+P47</f>
        <v>-107.86769425953889</v>
      </c>
      <c r="Q49" s="5">
        <f>Q46+Q47</f>
        <v>-74.114048144729622</v>
      </c>
      <c r="R49" s="5">
        <f>R46+R47</f>
        <v>-39.685329107624057</v>
      </c>
      <c r="S49" s="5">
        <f>S46+S47</f>
        <v>0</v>
      </c>
      <c r="U49" s="47" t="s">
        <v>156</v>
      </c>
      <c r="V49" s="30"/>
      <c r="W49" s="22">
        <f>IF($C$9=1,(W46+W47),0)</f>
        <v>0</v>
      </c>
      <c r="X49" s="22">
        <f>IF($C$9=1,(X46+X47),0)</f>
        <v>0</v>
      </c>
      <c r="Y49" s="22">
        <f>IF($C$9=1,(Y46+Y47),0)</f>
        <v>0</v>
      </c>
      <c r="Z49" s="22">
        <f>IF($C$9=1,(Z46+Z47),0)</f>
        <v>0</v>
      </c>
      <c r="AA49" s="22">
        <f>IF($C$9=1,(AA46+AA47),0)</f>
        <v>0</v>
      </c>
      <c r="AC49" s="5">
        <f>SUM(W49:Z49)</f>
        <v>0</v>
      </c>
    </row>
    <row r="50" spans="2:31">
      <c r="B50" s="2" t="s">
        <v>196</v>
      </c>
      <c r="C50" s="5">
        <f>(-O51-W58)-C40</f>
        <v>-2659.0404958239815</v>
      </c>
      <c r="D50" s="5">
        <f>-P51-X58</f>
        <v>107.86769425953889</v>
      </c>
      <c r="E50" s="5">
        <f>-Q51-Y58</f>
        <v>74.114048144729622</v>
      </c>
      <c r="F50" s="5">
        <f>-R51-Z58</f>
        <v>39.685329107624057</v>
      </c>
      <c r="G50" s="5">
        <f>-S51-AA58</f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O50" s="5"/>
      <c r="P50" s="5"/>
      <c r="Q50" s="5"/>
      <c r="R50" s="5"/>
      <c r="S50" s="5"/>
      <c r="U50" s="48"/>
      <c r="V50" s="48"/>
      <c r="W50" s="48"/>
      <c r="X50" s="48"/>
      <c r="Y50" s="48"/>
      <c r="Z50" s="48"/>
      <c r="AA50" s="48"/>
    </row>
    <row r="51" spans="2:31">
      <c r="B51" s="2" t="s">
        <v>257</v>
      </c>
      <c r="C51" s="5">
        <f>IF(C105&gt;0,-C105,0)</f>
        <v>-163.55102398420567</v>
      </c>
      <c r="D51" s="5">
        <f t="shared" ref="D51:L51" si="17">IF(D105&gt;0,-D105,0)</f>
        <v>-2050.7025088914038</v>
      </c>
      <c r="E51" s="5">
        <f t="shared" si="17"/>
        <v>-1978.7549634987331</v>
      </c>
      <c r="F51" s="5">
        <f t="shared" si="17"/>
        <v>-1900.6245818333127</v>
      </c>
      <c r="G51" s="5">
        <f t="shared" si="17"/>
        <v>-166.17163379368708</v>
      </c>
      <c r="H51" s="5">
        <f t="shared" si="17"/>
        <v>-166.80149891852921</v>
      </c>
      <c r="I51" s="5">
        <f t="shared" si="17"/>
        <v>-183.61515990856697</v>
      </c>
      <c r="J51" s="5">
        <f t="shared" si="17"/>
        <v>-192.61541165714789</v>
      </c>
      <c r="K51" s="5">
        <f t="shared" si="17"/>
        <v>-199.70821486814646</v>
      </c>
      <c r="L51" s="5">
        <f t="shared" si="17"/>
        <v>-206.63825433965729</v>
      </c>
      <c r="N51" s="2" t="s">
        <v>198</v>
      </c>
      <c r="O51" s="5">
        <f>C20</f>
        <v>2600</v>
      </c>
      <c r="P51" s="5">
        <f>D20</f>
        <v>0</v>
      </c>
      <c r="Q51" s="5">
        <f>E20</f>
        <v>0</v>
      </c>
      <c r="R51" s="5">
        <f>F20</f>
        <v>0</v>
      </c>
      <c r="S51" s="5">
        <f>G20</f>
        <v>0</v>
      </c>
    </row>
    <row r="52" spans="2:31">
      <c r="B52" s="2" t="s">
        <v>194</v>
      </c>
      <c r="C52" s="22">
        <f>C21</f>
        <v>0</v>
      </c>
      <c r="D52" s="22">
        <f>D21</f>
        <v>0</v>
      </c>
      <c r="E52" s="22">
        <f>E21</f>
        <v>0</v>
      </c>
      <c r="F52" s="22">
        <f>F21</f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O52" s="5"/>
      <c r="P52" s="5"/>
      <c r="Q52" s="5"/>
      <c r="R52" s="5"/>
      <c r="S52" s="5"/>
      <c r="U52" s="2" t="s">
        <v>260</v>
      </c>
      <c r="W52" s="22">
        <f>W46-W49</f>
        <v>1654.5904958239812</v>
      </c>
      <c r="X52" s="22">
        <f>X46-X49</f>
        <v>1687.6823057404611</v>
      </c>
      <c r="Y52" s="22">
        <f>Y46-Y49</f>
        <v>1721.4359518552703</v>
      </c>
      <c r="Z52" s="22">
        <f>Z46-Z49</f>
        <v>1755.8646708923759</v>
      </c>
      <c r="AA52" s="22">
        <f>AA46-AA49</f>
        <v>0</v>
      </c>
      <c r="AE52" s="5"/>
    </row>
    <row r="53" spans="2:31">
      <c r="B53" s="2" t="s">
        <v>20</v>
      </c>
      <c r="C53" s="22">
        <f>(-C11*((Hydro!AA44-Hydro!V44)*Hydro!$AJ$213))*(0.25+(2/3*0.25))</f>
        <v>-20.284178867993639</v>
      </c>
      <c r="D53" s="22">
        <f>-D11*(Hydro!AB44*Hydro!$AJ$213)</f>
        <v>-104.60211302563353</v>
      </c>
      <c r="E53" s="22">
        <f>-E11*(Hydro!AC44*Hydro!$AJ$213)</f>
        <v>-158.88875483963389</v>
      </c>
      <c r="F53" s="22">
        <f>-F11*(Hydro!AD44*Hydro!$AJ$213)</f>
        <v>-216.69147352942653</v>
      </c>
      <c r="G53" s="22">
        <f>-G11*(Hydro!AE44*Hydro!$AJ$213)</f>
        <v>-223.5036200417137</v>
      </c>
      <c r="H53" s="22">
        <f>-H11*(Hydro!AF44*Hydro!$AJ$213)</f>
        <v>-232.25741556061141</v>
      </c>
      <c r="I53" s="22">
        <f>-I11*(Hydro!AG44*Hydro!$AJ$213)</f>
        <v>-230.33547862990858</v>
      </c>
      <c r="J53" s="22">
        <f>-J11*(Hydro!AH44*Hydro!$AJ$213)</f>
        <v>-235.55077069961749</v>
      </c>
      <c r="K53" s="22">
        <f>J53*(1+$G$4)</f>
        <v>-244.9728015276022</v>
      </c>
      <c r="L53" s="22">
        <f>K53*(1+$G$4)</f>
        <v>-254.77171358870629</v>
      </c>
      <c r="N53" s="15" t="s">
        <v>159</v>
      </c>
      <c r="O53" s="17">
        <f>-(O49+O51)</f>
        <v>-2459.0404958239815</v>
      </c>
      <c r="P53" s="17">
        <f>-(P49+P51)</f>
        <v>107.86769425953889</v>
      </c>
      <c r="Q53" s="17">
        <f>-(Q49+Q51)</f>
        <v>74.114048144729622</v>
      </c>
      <c r="R53" s="17">
        <f>-(R49+R51)</f>
        <v>39.685329107624057</v>
      </c>
      <c r="S53" s="17">
        <f>-(S49+S51)</f>
        <v>0</v>
      </c>
      <c r="U53" s="2" t="s">
        <v>259</v>
      </c>
      <c r="W53" s="24">
        <f>O49</f>
        <v>-140.95950417601875</v>
      </c>
      <c r="X53" s="24">
        <f>P49</f>
        <v>-107.86769425953889</v>
      </c>
      <c r="Y53" s="24">
        <f>Q49</f>
        <v>-74.114048144729622</v>
      </c>
      <c r="Z53" s="24">
        <f>R49</f>
        <v>-39.685329107624057</v>
      </c>
      <c r="AA53" s="24">
        <f>S49</f>
        <v>0</v>
      </c>
      <c r="AE53" s="5"/>
    </row>
    <row r="54" spans="2:31">
      <c r="B54" s="2" t="s">
        <v>210</v>
      </c>
      <c r="C54" s="24">
        <f>C19-C40</f>
        <v>-63.037409568958708</v>
      </c>
      <c r="D54" s="24">
        <f>D19</f>
        <v>-149.00667384747931</v>
      </c>
      <c r="E54" s="24">
        <f t="shared" ref="E54:L54" si="18">E19</f>
        <v>-150.89233021911372</v>
      </c>
      <c r="F54" s="24">
        <f t="shared" si="18"/>
        <v>-154.3395003589288</v>
      </c>
      <c r="G54" s="24">
        <f>G19</f>
        <v>-159.19148309712105</v>
      </c>
      <c r="H54" s="24">
        <f t="shared" si="18"/>
        <v>-165.42641428580686</v>
      </c>
      <c r="I54" s="24">
        <f t="shared" si="18"/>
        <v>-173.03061194038293</v>
      </c>
      <c r="J54" s="24">
        <f t="shared" si="18"/>
        <v>-181.91136687601337</v>
      </c>
      <c r="K54" s="24">
        <f t="shared" si="18"/>
        <v>-189.18782155105393</v>
      </c>
      <c r="L54" s="24">
        <f t="shared" si="18"/>
        <v>-196.75533441309608</v>
      </c>
      <c r="O54" s="5"/>
      <c r="P54" s="5"/>
      <c r="Q54" s="5"/>
      <c r="R54" s="5"/>
      <c r="S54" s="5"/>
      <c r="W54" s="5">
        <f>W52-W53</f>
        <v>1795.55</v>
      </c>
      <c r="X54" s="5">
        <f>X52-X53</f>
        <v>1795.55</v>
      </c>
      <c r="Y54" s="5">
        <f>Y52-Y53</f>
        <v>1795.55</v>
      </c>
      <c r="Z54" s="5">
        <f>Z52-Z53</f>
        <v>1795.55</v>
      </c>
      <c r="AA54" s="5">
        <f>AA52-AA53</f>
        <v>0</v>
      </c>
    </row>
    <row r="55" spans="2:31">
      <c r="C55" s="5">
        <f t="shared" ref="C55:L55" si="19">SUM(C49:C54)</f>
        <v>-5505.9131082451395</v>
      </c>
      <c r="D55" s="5">
        <f t="shared" si="19"/>
        <v>-2196.4436015049778</v>
      </c>
      <c r="E55" s="5">
        <f t="shared" si="19"/>
        <v>-2214.422000412751</v>
      </c>
      <c r="F55" s="5">
        <f t="shared" si="19"/>
        <v>-2231.9702266140443</v>
      </c>
      <c r="G55" s="5">
        <f t="shared" si="19"/>
        <v>-548.8667369325218</v>
      </c>
      <c r="H55" s="5">
        <f t="shared" si="19"/>
        <v>-564.48532876494755</v>
      </c>
      <c r="I55" s="5">
        <f t="shared" si="19"/>
        <v>-586.98125047885856</v>
      </c>
      <c r="J55" s="5">
        <f t="shared" si="19"/>
        <v>-610.07754923277878</v>
      </c>
      <c r="K55" s="5">
        <f t="shared" si="19"/>
        <v>-633.86883794680261</v>
      </c>
      <c r="L55" s="5">
        <f t="shared" si="19"/>
        <v>-658.16530234145966</v>
      </c>
      <c r="N55" s="2" t="s">
        <v>324</v>
      </c>
      <c r="O55" s="5">
        <f>Valuation!F7*$Y$20</f>
        <v>587.59303778062531</v>
      </c>
      <c r="P55" s="5">
        <f>Valuation!G7*$Y$20</f>
        <v>587.59303778062531</v>
      </c>
      <c r="Q55" s="5">
        <f>Valuation!H7*$Y$20</f>
        <v>587.59303778062531</v>
      </c>
      <c r="R55" s="5">
        <f>Valuation!I7*$Y$20</f>
        <v>587.59303778062531</v>
      </c>
      <c r="S55" s="5">
        <v>0</v>
      </c>
    </row>
    <row r="56" spans="2:31">
      <c r="C56" s="5"/>
      <c r="D56" s="5"/>
      <c r="E56" s="5"/>
      <c r="F56" s="5"/>
      <c r="G56" s="5"/>
      <c r="H56" s="5"/>
      <c r="I56" s="5"/>
      <c r="J56" s="5"/>
      <c r="K56" s="5"/>
      <c r="L56" s="5"/>
      <c r="N56" s="2" t="s">
        <v>241</v>
      </c>
      <c r="O56" s="5">
        <f>Y26</f>
        <v>816.03823017539435</v>
      </c>
      <c r="P56" s="5">
        <v>0</v>
      </c>
      <c r="Q56" s="5">
        <v>0</v>
      </c>
      <c r="R56" s="5">
        <v>0</v>
      </c>
      <c r="S56" s="5">
        <v>0</v>
      </c>
      <c r="U56" s="2" t="s">
        <v>261</v>
      </c>
      <c r="W56" s="5">
        <f>IF(W54&lt;0,-W54,0)</f>
        <v>0</v>
      </c>
      <c r="X56" s="5">
        <f>IF(X54&lt;0,-X54,0)</f>
        <v>0</v>
      </c>
      <c r="Y56" s="5">
        <f>IF(Y54&lt;0,-Y54,0)</f>
        <v>0</v>
      </c>
      <c r="Z56" s="5">
        <f>IF(Z54&lt;0,-Z54,0)</f>
        <v>0</v>
      </c>
      <c r="AA56" s="5">
        <f>IF(AA54&lt;0,-AA54,0)</f>
        <v>0</v>
      </c>
    </row>
    <row r="57" spans="2:31" ht="12.75" thickBot="1">
      <c r="B57" s="15" t="s">
        <v>221</v>
      </c>
      <c r="C57" s="36">
        <f>IF($C$9=1,(IF(C17&gt;1,C17,0)),0)</f>
        <v>0</v>
      </c>
      <c r="D57" s="36">
        <f>IF($C$9=1,(IF(D17&gt;1,D17,0)),0)</f>
        <v>0</v>
      </c>
      <c r="E57" s="36">
        <f>IF($C$9=1,(IF(E17&gt;1,E17,0)),0)</f>
        <v>0</v>
      </c>
      <c r="F57" s="36">
        <f>IF($C$9=1,(IF(F17&gt;1,F17,0)),0)</f>
        <v>0</v>
      </c>
      <c r="G57" s="36">
        <f>IF($C$9=1,(IF(G17&gt;1,G17,0)),0)</f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O57" s="5"/>
      <c r="P57" s="5"/>
      <c r="Q57" s="5"/>
      <c r="R57" s="5"/>
      <c r="S57" s="5"/>
      <c r="W57" s="5"/>
      <c r="X57" s="5"/>
      <c r="Y57" s="5"/>
      <c r="Z57" s="5"/>
      <c r="AA57" s="5"/>
    </row>
    <row r="58" spans="2:31" ht="12.75" thickTop="1">
      <c r="C58" s="5"/>
      <c r="D58" s="5"/>
      <c r="E58" s="5"/>
      <c r="F58" s="5"/>
      <c r="G58" s="5"/>
      <c r="H58" s="5"/>
      <c r="I58" s="5"/>
      <c r="J58" s="5"/>
      <c r="K58" s="5"/>
      <c r="L58" s="5"/>
      <c r="N58" s="15" t="s">
        <v>220</v>
      </c>
      <c r="O58" s="17">
        <f>O53+O55+O56</f>
        <v>-1055.4092278679618</v>
      </c>
      <c r="P58" s="17">
        <f>P53+P55+P56</f>
        <v>695.4607320401642</v>
      </c>
      <c r="Q58" s="17">
        <f>Q53+Q55+Q56</f>
        <v>661.70708592535493</v>
      </c>
      <c r="R58" s="17">
        <f>R53+R55+R56</f>
        <v>627.27836688824937</v>
      </c>
      <c r="S58" s="17">
        <f>S53+S55</f>
        <v>0</v>
      </c>
      <c r="U58" s="2" t="s">
        <v>262</v>
      </c>
      <c r="W58" s="5">
        <f>IF(W56&gt;1,W52,W53)</f>
        <v>-140.95950417601875</v>
      </c>
      <c r="X58" s="5">
        <f>IF(X56&gt;1,X52,X53)</f>
        <v>-107.86769425953889</v>
      </c>
      <c r="Y58" s="5">
        <f>IF(Y56&gt;1,Y52,Y53)</f>
        <v>-74.114048144729622</v>
      </c>
      <c r="Z58" s="5">
        <f>IF(Z56&gt;1,Z52,Z53)</f>
        <v>-39.685329107624057</v>
      </c>
      <c r="AA58" s="5">
        <f>IF(AA56&gt;1,AA52,AA53)</f>
        <v>0</v>
      </c>
    </row>
    <row r="59" spans="2:31">
      <c r="B59" s="2" t="s">
        <v>155</v>
      </c>
      <c r="C59" s="5">
        <f>C57</f>
        <v>0</v>
      </c>
      <c r="D59" s="5">
        <f t="shared" ref="D59:L59" si="20">C59+D57</f>
        <v>0</v>
      </c>
      <c r="E59" s="5">
        <f t="shared" si="20"/>
        <v>0</v>
      </c>
      <c r="F59" s="5">
        <f t="shared" si="20"/>
        <v>0</v>
      </c>
      <c r="G59" s="5">
        <f t="shared" si="20"/>
        <v>0</v>
      </c>
      <c r="H59" s="5">
        <f t="shared" si="20"/>
        <v>0</v>
      </c>
      <c r="I59" s="5">
        <f t="shared" si="20"/>
        <v>0</v>
      </c>
      <c r="J59" s="5">
        <f t="shared" si="20"/>
        <v>0</v>
      </c>
      <c r="K59" s="5">
        <f t="shared" si="20"/>
        <v>0</v>
      </c>
      <c r="L59" s="5">
        <f t="shared" si="20"/>
        <v>0</v>
      </c>
      <c r="O59" s="5"/>
      <c r="P59" s="5"/>
      <c r="Q59" s="5"/>
      <c r="R59" s="5"/>
      <c r="S59" s="5"/>
    </row>
    <row r="60" spans="2:31">
      <c r="C60" s="5"/>
      <c r="D60" s="5"/>
      <c r="E60" s="5"/>
      <c r="F60" s="5"/>
      <c r="G60" s="5"/>
      <c r="H60" s="5"/>
      <c r="I60" s="5"/>
      <c r="J60" s="5"/>
      <c r="K60" s="5"/>
      <c r="L60" s="5"/>
      <c r="N60" s="2" t="s">
        <v>155</v>
      </c>
      <c r="O60" s="5">
        <f>O58</f>
        <v>-1055.4092278679618</v>
      </c>
      <c r="P60" s="5">
        <f>O60+P58</f>
        <v>-359.94849582779761</v>
      </c>
      <c r="Q60" s="5">
        <f>P60+Q58</f>
        <v>301.75859009755732</v>
      </c>
      <c r="R60" s="5">
        <f>Q60+R58</f>
        <v>929.03695698580668</v>
      </c>
      <c r="S60" s="5">
        <f>R60+S58</f>
        <v>929.03695698580668</v>
      </c>
      <c r="V60" s="2"/>
    </row>
    <row r="61" spans="2:31">
      <c r="B61" s="283" t="s">
        <v>51</v>
      </c>
      <c r="C61" s="284" t="s">
        <v>270</v>
      </c>
      <c r="D61" s="284" t="s">
        <v>271</v>
      </c>
      <c r="E61" s="284" t="s">
        <v>272</v>
      </c>
      <c r="F61" s="284" t="s">
        <v>273</v>
      </c>
      <c r="G61" s="284" t="s">
        <v>274</v>
      </c>
      <c r="H61" s="284" t="s">
        <v>275</v>
      </c>
      <c r="I61" s="284" t="s">
        <v>276</v>
      </c>
      <c r="J61" s="284" t="s">
        <v>277</v>
      </c>
      <c r="K61" s="284" t="s">
        <v>278</v>
      </c>
      <c r="L61" s="284" t="s">
        <v>279</v>
      </c>
      <c r="O61" s="5"/>
      <c r="P61" s="5"/>
      <c r="Q61" s="5"/>
      <c r="R61" s="5"/>
      <c r="S61" s="5"/>
    </row>
    <row r="62" spans="2:31">
      <c r="C62" s="22"/>
      <c r="D62" s="22"/>
      <c r="E62" s="22"/>
      <c r="F62" s="22"/>
      <c r="G62" s="22"/>
      <c r="H62" s="22"/>
      <c r="I62" s="22"/>
      <c r="J62" s="22"/>
      <c r="K62" s="22"/>
      <c r="L62" s="22"/>
      <c r="N62" s="2" t="s">
        <v>223</v>
      </c>
      <c r="O62" s="5">
        <f>AC16-(AC21*2)</f>
        <v>1026.6666666666667</v>
      </c>
      <c r="P62" s="5">
        <f>O62-$AC$21</f>
        <v>440.00000000000011</v>
      </c>
      <c r="Q62" s="5">
        <f>P62-$AC$21</f>
        <v>-146.66666666666652</v>
      </c>
      <c r="R62" s="5">
        <f>Q62-$AC$21</f>
        <v>-733.33333333333314</v>
      </c>
      <c r="S62" s="5">
        <v>0</v>
      </c>
    </row>
    <row r="63" spans="2:31">
      <c r="B63" s="15" t="s">
        <v>38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O63" s="5"/>
      <c r="P63" s="5"/>
      <c r="Q63" s="5"/>
      <c r="R63" s="5"/>
      <c r="S63" s="5"/>
    </row>
    <row r="64" spans="2:31">
      <c r="B64" s="15"/>
      <c r="C64" s="22"/>
      <c r="D64" s="22"/>
      <c r="E64" s="22"/>
      <c r="F64" s="22"/>
      <c r="G64" s="22"/>
      <c r="H64" s="22"/>
      <c r="I64" s="22"/>
      <c r="J64" s="22"/>
      <c r="K64" s="22"/>
      <c r="L64" s="22"/>
      <c r="N64" s="2" t="s">
        <v>224</v>
      </c>
      <c r="O64" s="5">
        <f>O60+O62</f>
        <v>-28.742561201295075</v>
      </c>
      <c r="P64" s="5">
        <f>P60+P62</f>
        <v>80.051504172202499</v>
      </c>
      <c r="Q64" s="5">
        <f>Q60+Q62</f>
        <v>155.0919234308908</v>
      </c>
      <c r="R64" s="5">
        <f>R60+R62</f>
        <v>195.70362365247354</v>
      </c>
      <c r="S64" s="5">
        <f>S60+S62</f>
        <v>929.03695698580668</v>
      </c>
    </row>
    <row r="65" spans="1:19">
      <c r="A65" s="5"/>
      <c r="B65" s="50" t="s">
        <v>333</v>
      </c>
      <c r="C65" s="22">
        <f>-C20</f>
        <v>-2600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</row>
    <row r="66" spans="1:19">
      <c r="A66" s="5"/>
      <c r="B66" s="50" t="s">
        <v>335</v>
      </c>
      <c r="C66" s="22">
        <f>-C40</f>
        <v>-200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</row>
    <row r="67" spans="1:19">
      <c r="A67" s="5"/>
      <c r="B67" s="50" t="s">
        <v>354</v>
      </c>
      <c r="C67" s="22">
        <f>-C52</f>
        <v>0</v>
      </c>
      <c r="D67" s="22">
        <f t="shared" ref="D67:L67" si="21">-D52</f>
        <v>0</v>
      </c>
      <c r="E67" s="22">
        <f t="shared" si="21"/>
        <v>0</v>
      </c>
      <c r="F67" s="22">
        <f t="shared" si="21"/>
        <v>0</v>
      </c>
      <c r="G67" s="22">
        <f t="shared" si="21"/>
        <v>0</v>
      </c>
      <c r="H67" s="22">
        <f t="shared" si="21"/>
        <v>0</v>
      </c>
      <c r="I67" s="22">
        <f t="shared" si="21"/>
        <v>0</v>
      </c>
      <c r="J67" s="22">
        <f t="shared" si="21"/>
        <v>0</v>
      </c>
      <c r="K67" s="22">
        <f t="shared" si="21"/>
        <v>0</v>
      </c>
      <c r="L67" s="22">
        <f t="shared" si="21"/>
        <v>0</v>
      </c>
      <c r="O67" s="5"/>
      <c r="P67" s="5"/>
      <c r="Q67" s="5"/>
      <c r="R67" s="5"/>
      <c r="S67" s="5"/>
    </row>
    <row r="68" spans="1:19">
      <c r="A68" s="5"/>
      <c r="B68" s="50" t="s">
        <v>353</v>
      </c>
      <c r="C68" s="22">
        <f>-C54</f>
        <v>63.037409568958708</v>
      </c>
      <c r="D68" s="22">
        <f t="shared" ref="D68:L68" si="22">-D54</f>
        <v>149.00667384747931</v>
      </c>
      <c r="E68" s="22">
        <f t="shared" si="22"/>
        <v>150.89233021911372</v>
      </c>
      <c r="F68" s="22">
        <f t="shared" si="22"/>
        <v>154.3395003589288</v>
      </c>
      <c r="G68" s="22">
        <f t="shared" si="22"/>
        <v>159.19148309712105</v>
      </c>
      <c r="H68" s="22">
        <f t="shared" si="22"/>
        <v>165.42641428580686</v>
      </c>
      <c r="I68" s="22">
        <f t="shared" si="22"/>
        <v>173.03061194038293</v>
      </c>
      <c r="J68" s="22">
        <f t="shared" si="22"/>
        <v>181.91136687601337</v>
      </c>
      <c r="K68" s="22">
        <f t="shared" si="22"/>
        <v>189.18782155105393</v>
      </c>
      <c r="L68" s="22">
        <f t="shared" si="22"/>
        <v>196.75533441309608</v>
      </c>
    </row>
    <row r="69" spans="1:19">
      <c r="A69" s="5"/>
      <c r="B69" s="50" t="s">
        <v>334</v>
      </c>
      <c r="C69" s="24">
        <f>IF(W58&lt;0,0,-O49)</f>
        <v>0</v>
      </c>
      <c r="D69" s="24">
        <f>IF(X58&lt;0,0,-P49)</f>
        <v>0</v>
      </c>
      <c r="E69" s="24">
        <f>IF(Y58&lt;0,0,-Q49)</f>
        <v>0</v>
      </c>
      <c r="F69" s="24">
        <f>IF(Z58&lt;0,0,-R49)</f>
        <v>0</v>
      </c>
      <c r="G69" s="24">
        <f>G50-AA56</f>
        <v>0</v>
      </c>
      <c r="H69" s="24">
        <f>H50</f>
        <v>0</v>
      </c>
      <c r="I69" s="24">
        <f>I50</f>
        <v>0</v>
      </c>
      <c r="J69" s="24">
        <f>J50</f>
        <v>0</v>
      </c>
      <c r="K69" s="24">
        <f>K50</f>
        <v>0</v>
      </c>
      <c r="L69" s="24">
        <f>L50</f>
        <v>0</v>
      </c>
    </row>
    <row r="70" spans="1:19">
      <c r="B70" s="2" t="s">
        <v>196</v>
      </c>
      <c r="C70" s="22">
        <f>SUM(C65:C69)</f>
        <v>-2736.9625904310415</v>
      </c>
      <c r="D70" s="22">
        <f t="shared" ref="D70:L70" si="23">SUM(D65:D69)</f>
        <v>149.00667384747931</v>
      </c>
      <c r="E70" s="22">
        <f t="shared" si="23"/>
        <v>150.89233021911372</v>
      </c>
      <c r="F70" s="22">
        <f t="shared" si="23"/>
        <v>154.3395003589288</v>
      </c>
      <c r="G70" s="22">
        <f t="shared" si="23"/>
        <v>159.19148309712105</v>
      </c>
      <c r="H70" s="22">
        <f t="shared" si="23"/>
        <v>165.42641428580686</v>
      </c>
      <c r="I70" s="22">
        <f t="shared" si="23"/>
        <v>173.03061194038293</v>
      </c>
      <c r="J70" s="22">
        <f t="shared" si="23"/>
        <v>181.91136687601337</v>
      </c>
      <c r="K70" s="22">
        <f t="shared" si="23"/>
        <v>189.18782155105393</v>
      </c>
      <c r="L70" s="22">
        <f t="shared" si="23"/>
        <v>196.75533441309608</v>
      </c>
      <c r="N70" s="1"/>
    </row>
    <row r="71" spans="1:19">
      <c r="A71" s="5"/>
      <c r="B71" s="1"/>
    </row>
    <row r="72" spans="1:19">
      <c r="A72" s="5"/>
      <c r="B72" s="50" t="s">
        <v>336</v>
      </c>
      <c r="C72" s="5">
        <f>-Hydro!W104</f>
        <v>-800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</row>
    <row r="73" spans="1:19">
      <c r="A73" s="5"/>
      <c r="B73" s="50" t="s">
        <v>337</v>
      </c>
      <c r="C73" s="5">
        <f>-C49</f>
        <v>2600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O73" s="5"/>
    </row>
    <row r="74" spans="1:19">
      <c r="A74" s="5"/>
      <c r="B74" s="50" t="s">
        <v>334</v>
      </c>
      <c r="C74" s="22">
        <f>-(C38+C69)</f>
        <v>-1654.5904958239812</v>
      </c>
      <c r="D74" s="22">
        <f t="shared" ref="D74:L74" si="24">-(D38+D69)</f>
        <v>-1687.6823057404611</v>
      </c>
      <c r="E74" s="22">
        <f t="shared" si="24"/>
        <v>-1721.4359518552703</v>
      </c>
      <c r="F74" s="22">
        <f t="shared" si="24"/>
        <v>-1755.8646708923759</v>
      </c>
      <c r="G74" s="22">
        <f t="shared" si="24"/>
        <v>0</v>
      </c>
      <c r="H74" s="22">
        <f t="shared" si="24"/>
        <v>0</v>
      </c>
      <c r="I74" s="22">
        <f t="shared" si="24"/>
        <v>0</v>
      </c>
      <c r="J74" s="22">
        <f t="shared" si="24"/>
        <v>0</v>
      </c>
      <c r="K74" s="22">
        <f t="shared" si="24"/>
        <v>0</v>
      </c>
      <c r="L74" s="22">
        <f t="shared" si="24"/>
        <v>0</v>
      </c>
    </row>
    <row r="75" spans="1:19">
      <c r="A75" s="5"/>
      <c r="B75" s="50" t="s">
        <v>351</v>
      </c>
      <c r="C75" s="22">
        <f>C114</f>
        <v>-9.7209610514629077</v>
      </c>
      <c r="D75" s="22">
        <f t="shared" ref="D75:L75" si="25">D114</f>
        <v>-25.064683989435849</v>
      </c>
      <c r="E75" s="22">
        <f t="shared" si="25"/>
        <v>-25.381873681999963</v>
      </c>
      <c r="F75" s="22">
        <f t="shared" si="25"/>
        <v>-25.961728449449623</v>
      </c>
      <c r="G75" s="22">
        <f t="shared" si="25"/>
        <v>-26.777889302617012</v>
      </c>
      <c r="H75" s="22">
        <f t="shared" si="25"/>
        <v>-27.826678433365913</v>
      </c>
      <c r="I75" s="22">
        <f t="shared" si="25"/>
        <v>-27.596411852594741</v>
      </c>
      <c r="J75" s="22">
        <f t="shared" si="25"/>
        <v>-28.221254142385931</v>
      </c>
      <c r="K75" s="22">
        <f t="shared" si="25"/>
        <v>-29.35010430808137</v>
      </c>
      <c r="L75" s="22">
        <f t="shared" si="25"/>
        <v>-30.524108480404607</v>
      </c>
    </row>
    <row r="76" spans="1:19">
      <c r="A76" s="5"/>
      <c r="B76" s="50" t="s">
        <v>352</v>
      </c>
      <c r="C76" s="22">
        <f>C123</f>
        <v>-163.06742269284808</v>
      </c>
      <c r="D76" s="22">
        <f t="shared" ref="D76:L76" si="26">D123</f>
        <v>-280.30379555616071</v>
      </c>
      <c r="E76" s="22">
        <f t="shared" si="26"/>
        <v>-141.9254983304449</v>
      </c>
      <c r="F76" s="22">
        <f t="shared" si="26"/>
        <v>0</v>
      </c>
      <c r="G76" s="22">
        <f t="shared" si="26"/>
        <v>0</v>
      </c>
      <c r="H76" s="22">
        <f t="shared" si="26"/>
        <v>0</v>
      </c>
      <c r="I76" s="22">
        <f t="shared" si="26"/>
        <v>0</v>
      </c>
      <c r="J76" s="22">
        <f t="shared" si="26"/>
        <v>0</v>
      </c>
      <c r="K76" s="22">
        <f t="shared" si="26"/>
        <v>0</v>
      </c>
      <c r="L76" s="22">
        <f t="shared" si="26"/>
        <v>0</v>
      </c>
    </row>
    <row r="77" spans="1:19">
      <c r="B77" s="50" t="s">
        <v>355</v>
      </c>
      <c r="C77" s="27">
        <f>-(C43+C45)-(IF(C7=1,9,0))</f>
        <v>-58.250049808854165</v>
      </c>
      <c r="D77" s="24">
        <f t="shared" ref="D77:L77" si="27">-(D43+D45)</f>
        <v>-98.790703193286561</v>
      </c>
      <c r="E77" s="24">
        <f t="shared" si="27"/>
        <v>-166.78992170540181</v>
      </c>
      <c r="F77" s="24">
        <f t="shared" si="27"/>
        <v>-233.45235374279196</v>
      </c>
      <c r="G77" s="24">
        <f t="shared" si="27"/>
        <v>-298.58522758819106</v>
      </c>
      <c r="H77" s="24">
        <f t="shared" si="27"/>
        <v>-304.40123477097012</v>
      </c>
      <c r="I77" s="24">
        <f t="shared" si="27"/>
        <v>-329.04935999635512</v>
      </c>
      <c r="J77" s="24">
        <f t="shared" si="27"/>
        <v>-346.30552439077536</v>
      </c>
      <c r="K77" s="24">
        <f t="shared" si="27"/>
        <v>-359.5459321111191</v>
      </c>
      <c r="L77" s="24">
        <f t="shared" si="27"/>
        <v>-372.86948027234877</v>
      </c>
    </row>
    <row r="78" spans="1:19">
      <c r="B78" s="2" t="s">
        <v>338</v>
      </c>
      <c r="C78" s="51">
        <f>SUM(C72:C77)</f>
        <v>-85.628929377146335</v>
      </c>
      <c r="D78" s="51">
        <f>SUM(D72:D77)</f>
        <v>-2091.8414884793442</v>
      </c>
      <c r="E78" s="51">
        <f>SUM(E72:E77)</f>
        <v>-2055.5332455731168</v>
      </c>
      <c r="F78" s="51">
        <f t="shared" ref="F78:L78" si="28">SUM(F72:F77)</f>
        <v>-2015.2787530846174</v>
      </c>
      <c r="G78" s="51">
        <f t="shared" si="28"/>
        <v>-325.3631168908081</v>
      </c>
      <c r="H78" s="51">
        <f t="shared" si="28"/>
        <v>-332.22791320433601</v>
      </c>
      <c r="I78" s="51">
        <f t="shared" si="28"/>
        <v>-356.64577184894983</v>
      </c>
      <c r="J78" s="51">
        <f t="shared" si="28"/>
        <v>-374.52677853316129</v>
      </c>
      <c r="K78" s="51">
        <f t="shared" si="28"/>
        <v>-388.89603641920047</v>
      </c>
      <c r="L78" s="51">
        <f t="shared" si="28"/>
        <v>-403.39358875275337</v>
      </c>
    </row>
    <row r="79" spans="1:19"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 spans="1:19">
      <c r="A80" s="5"/>
      <c r="B80" s="15" t="s">
        <v>38</v>
      </c>
      <c r="C80" s="17">
        <f>C78+C70</f>
        <v>-2822.591519808188</v>
      </c>
      <c r="D80" s="17">
        <f t="shared" ref="D80:L80" si="29">D78+D70</f>
        <v>-1942.8348146318649</v>
      </c>
      <c r="E80" s="17">
        <f t="shared" si="29"/>
        <v>-1904.640915354003</v>
      </c>
      <c r="F80" s="17">
        <f t="shared" si="29"/>
        <v>-1860.9392527256887</v>
      </c>
      <c r="G80" s="17">
        <f t="shared" si="29"/>
        <v>-166.17163379368705</v>
      </c>
      <c r="H80" s="17">
        <f t="shared" si="29"/>
        <v>-166.80149891852915</v>
      </c>
      <c r="I80" s="17">
        <f t="shared" si="29"/>
        <v>-183.61515990856691</v>
      </c>
      <c r="J80" s="17">
        <f t="shared" si="29"/>
        <v>-192.61541165714792</v>
      </c>
      <c r="K80" s="17">
        <f t="shared" si="29"/>
        <v>-199.70821486814654</v>
      </c>
      <c r="L80" s="17">
        <f t="shared" si="29"/>
        <v>-206.63825433965729</v>
      </c>
    </row>
    <row r="81" spans="1:12">
      <c r="A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>
      <c r="B82" s="15" t="s">
        <v>341</v>
      </c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>
      <c r="B83" s="1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>
      <c r="B84" s="50" t="s">
        <v>339</v>
      </c>
      <c r="C84" s="5">
        <f>((Hydro!V94-Hydro!V106)*(1-C11))-C40</f>
        <v>1933.1269312944032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</row>
    <row r="85" spans="1:12">
      <c r="B85" s="50" t="s">
        <v>333</v>
      </c>
      <c r="C85" s="22">
        <f>-C20</f>
        <v>-2600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</row>
    <row r="86" spans="1:12">
      <c r="B86" s="50" t="s">
        <v>337</v>
      </c>
      <c r="C86" s="22">
        <f>-C49</f>
        <v>2600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</row>
    <row r="87" spans="1:12">
      <c r="B87" s="50" t="s">
        <v>340</v>
      </c>
      <c r="C87" s="24">
        <f>Hydro!W114</f>
        <v>-809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</row>
    <row r="88" spans="1:12">
      <c r="B88" s="2" t="s">
        <v>346</v>
      </c>
      <c r="C88" s="5">
        <f>SUM(C84:C87)</f>
        <v>1124.1269312944032</v>
      </c>
      <c r="D88" s="5">
        <f t="shared" ref="D88:L88" si="30">SUM(D84:D87)</f>
        <v>0</v>
      </c>
      <c r="E88" s="5">
        <f t="shared" si="30"/>
        <v>0</v>
      </c>
      <c r="F88" s="5">
        <f t="shared" si="30"/>
        <v>0</v>
      </c>
      <c r="G88" s="5">
        <f t="shared" si="30"/>
        <v>0</v>
      </c>
      <c r="H88" s="5">
        <f t="shared" si="30"/>
        <v>0</v>
      </c>
      <c r="I88" s="5">
        <f t="shared" si="30"/>
        <v>0</v>
      </c>
      <c r="J88" s="5">
        <f t="shared" si="30"/>
        <v>0</v>
      </c>
      <c r="K88" s="5">
        <f t="shared" si="30"/>
        <v>0</v>
      </c>
      <c r="L88" s="5">
        <f t="shared" si="30"/>
        <v>0</v>
      </c>
    </row>
    <row r="89" spans="1:12">
      <c r="C89" s="22"/>
      <c r="D89" s="41"/>
      <c r="E89" s="41"/>
      <c r="F89" s="41"/>
      <c r="G89" s="41"/>
      <c r="H89" s="41"/>
      <c r="I89" s="41"/>
      <c r="J89" s="41"/>
      <c r="K89" s="41"/>
      <c r="L89" s="41"/>
    </row>
    <row r="90" spans="1:12">
      <c r="B90" s="50" t="s">
        <v>348</v>
      </c>
      <c r="C90" s="22">
        <f>Valuation!F30</f>
        <v>-1049.7</v>
      </c>
      <c r="D90" s="22">
        <f>Valuation!G30</f>
        <v>-1425.417778101159</v>
      </c>
      <c r="E90" s="22">
        <f>Valuation!H30</f>
        <v>-1455.071971451348</v>
      </c>
      <c r="F90" s="22">
        <f>Valuation!I30</f>
        <v>-1485.4036216987072</v>
      </c>
      <c r="G90" s="22">
        <f>Valuation!J30</f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</row>
    <row r="91" spans="1:12">
      <c r="B91" s="50" t="s">
        <v>349</v>
      </c>
      <c r="C91" s="24">
        <f t="shared" ref="C91:L91" si="31">C124</f>
        <v>-17.40242269284812</v>
      </c>
      <c r="D91" s="24">
        <f t="shared" si="31"/>
        <v>-37.917235556160733</v>
      </c>
      <c r="E91" s="24">
        <f t="shared" si="31"/>
        <v>-15.884487130444882</v>
      </c>
      <c r="F91" s="24">
        <f t="shared" si="31"/>
        <v>0</v>
      </c>
      <c r="G91" s="24">
        <f t="shared" si="31"/>
        <v>0</v>
      </c>
      <c r="H91" s="24">
        <f t="shared" si="31"/>
        <v>0</v>
      </c>
      <c r="I91" s="24">
        <f t="shared" si="31"/>
        <v>0</v>
      </c>
      <c r="J91" s="24">
        <f t="shared" si="31"/>
        <v>0</v>
      </c>
      <c r="K91" s="24">
        <f t="shared" si="31"/>
        <v>0</v>
      </c>
      <c r="L91" s="24">
        <f t="shared" si="31"/>
        <v>0</v>
      </c>
    </row>
    <row r="92" spans="1:12">
      <c r="B92" s="2" t="s">
        <v>350</v>
      </c>
      <c r="C92" s="22">
        <f>C90+C91</f>
        <v>-1067.1024226928482</v>
      </c>
      <c r="D92" s="22">
        <f t="shared" ref="D92:L92" si="32">D90+D91</f>
        <v>-1463.3350136573197</v>
      </c>
      <c r="E92" s="22">
        <f t="shared" si="32"/>
        <v>-1470.956458581793</v>
      </c>
      <c r="F92" s="22">
        <f t="shared" si="32"/>
        <v>-1485.4036216987072</v>
      </c>
      <c r="G92" s="22">
        <f t="shared" si="32"/>
        <v>0</v>
      </c>
      <c r="H92" s="22">
        <f t="shared" si="32"/>
        <v>0</v>
      </c>
      <c r="I92" s="22">
        <f t="shared" si="32"/>
        <v>0</v>
      </c>
      <c r="J92" s="22">
        <f t="shared" si="32"/>
        <v>0</v>
      </c>
      <c r="K92" s="22">
        <f t="shared" si="32"/>
        <v>0</v>
      </c>
      <c r="L92" s="22">
        <f t="shared" si="32"/>
        <v>0</v>
      </c>
    </row>
    <row r="93" spans="1:12">
      <c r="C93" s="22"/>
      <c r="D93" s="22"/>
      <c r="E93" s="22"/>
      <c r="F93" s="22"/>
      <c r="G93" s="22"/>
      <c r="H93" s="22"/>
      <c r="I93" s="22"/>
      <c r="J93" s="22"/>
      <c r="K93" s="22"/>
      <c r="L93" s="22"/>
    </row>
    <row r="94" spans="1:12">
      <c r="B94" s="50" t="s">
        <v>342</v>
      </c>
      <c r="C94" s="22">
        <f>-(L11)*C12*(0.25+(2/3*0.25))</f>
        <v>-194.21999999999997</v>
      </c>
      <c r="D94" s="22">
        <f t="shared" ref="D94:L94" si="33">-($L$11)*D12</f>
        <v>-484.77311999999995</v>
      </c>
      <c r="E94" s="22">
        <f t="shared" si="33"/>
        <v>-504.1640448</v>
      </c>
      <c r="F94" s="22">
        <f t="shared" si="33"/>
        <v>-524.33060659199998</v>
      </c>
      <c r="G94" s="22">
        <f t="shared" si="33"/>
        <v>-545.30383085568008</v>
      </c>
      <c r="H94" s="22">
        <f t="shared" si="33"/>
        <v>-567.11598408990733</v>
      </c>
      <c r="I94" s="22">
        <f t="shared" si="33"/>
        <v>-589.80062345350359</v>
      </c>
      <c r="J94" s="22">
        <f t="shared" si="33"/>
        <v>-613.39264839164377</v>
      </c>
      <c r="K94" s="22">
        <f t="shared" si="33"/>
        <v>-637.92835432730953</v>
      </c>
      <c r="L94" s="22">
        <f t="shared" si="33"/>
        <v>-663.44548850040201</v>
      </c>
    </row>
    <row r="95" spans="1:12">
      <c r="B95" s="50" t="s">
        <v>343</v>
      </c>
      <c r="C95" s="24">
        <f t="shared" ref="C95:L95" si="34">C114</f>
        <v>-9.7209610514629077</v>
      </c>
      <c r="D95" s="24">
        <f t="shared" si="34"/>
        <v>-25.064683989435849</v>
      </c>
      <c r="E95" s="24">
        <f t="shared" si="34"/>
        <v>-25.381873681999963</v>
      </c>
      <c r="F95" s="24">
        <f t="shared" si="34"/>
        <v>-25.961728449449623</v>
      </c>
      <c r="G95" s="24">
        <f t="shared" si="34"/>
        <v>-26.777889302617012</v>
      </c>
      <c r="H95" s="24">
        <f t="shared" si="34"/>
        <v>-27.826678433365913</v>
      </c>
      <c r="I95" s="24">
        <f t="shared" si="34"/>
        <v>-27.596411852594741</v>
      </c>
      <c r="J95" s="24">
        <f t="shared" si="34"/>
        <v>-28.221254142385931</v>
      </c>
      <c r="K95" s="24">
        <f t="shared" si="34"/>
        <v>-29.35010430808137</v>
      </c>
      <c r="L95" s="24">
        <f t="shared" si="34"/>
        <v>-30.524108480404607</v>
      </c>
    </row>
    <row r="96" spans="1:12">
      <c r="B96" s="2" t="s">
        <v>347</v>
      </c>
      <c r="C96" s="22">
        <f>C94+C95</f>
        <v>-203.94096105146286</v>
      </c>
      <c r="D96" s="22">
        <f t="shared" ref="D96:L96" si="35">D94+D95</f>
        <v>-509.83780398943577</v>
      </c>
      <c r="E96" s="22">
        <f t="shared" si="35"/>
        <v>-529.54591848199993</v>
      </c>
      <c r="F96" s="22">
        <f t="shared" si="35"/>
        <v>-550.29233504144963</v>
      </c>
      <c r="G96" s="22">
        <f t="shared" si="35"/>
        <v>-572.08172015829712</v>
      </c>
      <c r="H96" s="22">
        <f t="shared" si="35"/>
        <v>-594.94266252327327</v>
      </c>
      <c r="I96" s="22">
        <f t="shared" si="35"/>
        <v>-617.39703530609836</v>
      </c>
      <c r="J96" s="22">
        <f t="shared" si="35"/>
        <v>-641.61390253402965</v>
      </c>
      <c r="K96" s="22">
        <f t="shared" si="35"/>
        <v>-667.27845863539096</v>
      </c>
      <c r="L96" s="22">
        <f t="shared" si="35"/>
        <v>-693.96959698080661</v>
      </c>
    </row>
    <row r="97" spans="1:13">
      <c r="C97" s="22"/>
      <c r="D97" s="22"/>
      <c r="E97" s="22"/>
      <c r="F97" s="22"/>
      <c r="G97" s="22"/>
      <c r="H97" s="22"/>
      <c r="I97" s="22"/>
      <c r="J97" s="22"/>
      <c r="K97" s="22"/>
      <c r="L97" s="22"/>
    </row>
    <row r="98" spans="1:13">
      <c r="B98" s="15" t="s">
        <v>341</v>
      </c>
      <c r="C98" s="17">
        <f t="shared" ref="C98:L98" si="36">C88+C96+C92</f>
        <v>-146.91645244990787</v>
      </c>
      <c r="D98" s="17">
        <f t="shared" si="36"/>
        <v>-1973.1728176467554</v>
      </c>
      <c r="E98" s="17">
        <f t="shared" si="36"/>
        <v>-2000.5023770637929</v>
      </c>
      <c r="F98" s="17">
        <f t="shared" si="36"/>
        <v>-2035.6959567401568</v>
      </c>
      <c r="G98" s="17">
        <f t="shared" si="36"/>
        <v>-572.08172015829712</v>
      </c>
      <c r="H98" s="17">
        <f t="shared" si="36"/>
        <v>-594.94266252327327</v>
      </c>
      <c r="I98" s="17">
        <f t="shared" si="36"/>
        <v>-617.39703530609836</v>
      </c>
      <c r="J98" s="17">
        <f t="shared" si="36"/>
        <v>-641.61390253402965</v>
      </c>
      <c r="K98" s="17">
        <f t="shared" si="36"/>
        <v>-667.27845863539096</v>
      </c>
      <c r="L98" s="17">
        <f t="shared" si="36"/>
        <v>-693.96959698080661</v>
      </c>
    </row>
    <row r="99" spans="1:13">
      <c r="C99" s="22"/>
      <c r="D99" s="22"/>
      <c r="E99" s="22"/>
      <c r="F99" s="22"/>
      <c r="G99" s="22"/>
      <c r="H99" s="41"/>
      <c r="I99" s="41"/>
      <c r="J99" s="41"/>
      <c r="K99" s="41"/>
      <c r="L99" s="41"/>
    </row>
    <row r="100" spans="1:13" ht="12.75" thickBot="1">
      <c r="B100" s="319" t="s">
        <v>197</v>
      </c>
      <c r="C100" s="320">
        <f t="shared" ref="C100:L100" si="37">C98-C80</f>
        <v>2675.6750673582801</v>
      </c>
      <c r="D100" s="320">
        <f t="shared" si="37"/>
        <v>-30.338003014890546</v>
      </c>
      <c r="E100" s="320">
        <f t="shared" si="37"/>
        <v>-95.861461709789864</v>
      </c>
      <c r="F100" s="320">
        <f t="shared" si="37"/>
        <v>-174.75670401446814</v>
      </c>
      <c r="G100" s="320">
        <f t="shared" si="37"/>
        <v>-405.91008636461004</v>
      </c>
      <c r="H100" s="320">
        <f t="shared" si="37"/>
        <v>-428.14116360474412</v>
      </c>
      <c r="I100" s="320">
        <f t="shared" si="37"/>
        <v>-433.78187539753145</v>
      </c>
      <c r="J100" s="320">
        <f t="shared" si="37"/>
        <v>-448.99849087688176</v>
      </c>
      <c r="K100" s="320">
        <f t="shared" si="37"/>
        <v>-467.57024376724439</v>
      </c>
      <c r="L100" s="320">
        <f t="shared" si="37"/>
        <v>-487.33134264114932</v>
      </c>
    </row>
    <row r="101" spans="1:13" ht="12.75" thickTop="1"/>
    <row r="102" spans="1:13">
      <c r="B102" s="2" t="s">
        <v>155</v>
      </c>
      <c r="C102" s="5">
        <f>C100</f>
        <v>2675.6750673582801</v>
      </c>
      <c r="D102" s="5">
        <f t="shared" ref="D102:L102" si="38">C102+D100</f>
        <v>2645.3370643433896</v>
      </c>
      <c r="E102" s="5">
        <f t="shared" si="38"/>
        <v>2549.4756026335999</v>
      </c>
      <c r="F102" s="5">
        <f t="shared" si="38"/>
        <v>2374.7188986191318</v>
      </c>
      <c r="G102" s="5">
        <f t="shared" si="38"/>
        <v>1968.8088122545219</v>
      </c>
      <c r="H102" s="5">
        <f t="shared" si="38"/>
        <v>1540.6676486497777</v>
      </c>
      <c r="I102" s="5">
        <f t="shared" si="38"/>
        <v>1106.8857732522463</v>
      </c>
      <c r="J102" s="5">
        <f t="shared" si="38"/>
        <v>657.88728237536452</v>
      </c>
      <c r="K102" s="5">
        <f t="shared" si="38"/>
        <v>190.31703860812013</v>
      </c>
      <c r="L102" s="5">
        <f t="shared" si="38"/>
        <v>-297.01430403302919</v>
      </c>
    </row>
    <row r="103" spans="1:13">
      <c r="B103" s="52"/>
      <c r="C103" s="48"/>
      <c r="D103" s="48"/>
      <c r="E103" s="48"/>
      <c r="F103" s="48"/>
      <c r="G103" s="48"/>
      <c r="H103" s="48"/>
      <c r="I103" s="48"/>
      <c r="J103" s="48"/>
      <c r="K103" s="48"/>
      <c r="L103" s="48"/>
    </row>
    <row r="105" spans="1:13">
      <c r="B105" s="2" t="s">
        <v>258</v>
      </c>
      <c r="C105" s="5">
        <f>SUM(C38:C41)+C43+C45+C44+C49+C50+SUM(C52:C54)-C57</f>
        <v>163.55102398420567</v>
      </c>
      <c r="D105" s="5">
        <f t="shared" ref="D105:L105" si="39">SUM(D38:D41)+D43+D45+D44+D49+D50+SUM(D52:D54)-D57</f>
        <v>2050.7025088914038</v>
      </c>
      <c r="E105" s="5">
        <f t="shared" si="39"/>
        <v>1978.7549634987331</v>
      </c>
      <c r="F105" s="5">
        <f t="shared" si="39"/>
        <v>1900.6245818333127</v>
      </c>
      <c r="G105" s="5">
        <f t="shared" si="39"/>
        <v>166.17163379368708</v>
      </c>
      <c r="H105" s="5">
        <f t="shared" si="39"/>
        <v>166.80149891852921</v>
      </c>
      <c r="I105" s="5">
        <f t="shared" si="39"/>
        <v>183.61515990856697</v>
      </c>
      <c r="J105" s="5">
        <f t="shared" si="39"/>
        <v>192.61541165714789</v>
      </c>
      <c r="K105" s="5">
        <f t="shared" si="39"/>
        <v>199.70821486814646</v>
      </c>
      <c r="L105" s="5">
        <f t="shared" si="39"/>
        <v>206.63825433965729</v>
      </c>
    </row>
    <row r="106" spans="1:13">
      <c r="B106" s="2" t="s">
        <v>264</v>
      </c>
      <c r="C106" s="5">
        <f>C42+C51+C50</f>
        <v>-2822.5915198081871</v>
      </c>
      <c r="D106" s="5">
        <f t="shared" ref="D106:L106" si="40">D42+D51+D50</f>
        <v>-1942.8348146318649</v>
      </c>
      <c r="E106" s="5">
        <f t="shared" si="40"/>
        <v>-1904.6409153540035</v>
      </c>
      <c r="F106" s="5">
        <f t="shared" si="40"/>
        <v>-1860.9392527256887</v>
      </c>
      <c r="G106" s="5">
        <f t="shared" si="40"/>
        <v>-166.17163379368708</v>
      </c>
      <c r="H106" s="5">
        <f t="shared" si="40"/>
        <v>-166.80149891852921</v>
      </c>
      <c r="I106" s="5">
        <f t="shared" si="40"/>
        <v>-183.61515990856697</v>
      </c>
      <c r="J106" s="5">
        <f t="shared" si="40"/>
        <v>-192.61541165714789</v>
      </c>
      <c r="K106" s="5">
        <f t="shared" si="40"/>
        <v>-199.70821486814646</v>
      </c>
      <c r="L106" s="5">
        <f t="shared" si="40"/>
        <v>-206.63825433965729</v>
      </c>
    </row>
    <row r="107" spans="1:13">
      <c r="B107" s="2" t="s">
        <v>155</v>
      </c>
      <c r="C107" s="5">
        <f>C106</f>
        <v>-2822.5915198081871</v>
      </c>
      <c r="D107" s="5">
        <f>C107+D106</f>
        <v>-4765.4263344400515</v>
      </c>
      <c r="E107" s="5">
        <f t="shared" ref="E107:L107" si="41">D107+E106</f>
        <v>-6670.067249794055</v>
      </c>
      <c r="F107" s="5">
        <f t="shared" si="41"/>
        <v>-8531.0065025197437</v>
      </c>
      <c r="G107" s="5">
        <f t="shared" si="41"/>
        <v>-8697.1781363134305</v>
      </c>
      <c r="H107" s="5">
        <f t="shared" si="41"/>
        <v>-8863.979635231959</v>
      </c>
      <c r="I107" s="5">
        <f t="shared" si="41"/>
        <v>-9047.5947951405251</v>
      </c>
      <c r="J107" s="5">
        <f t="shared" si="41"/>
        <v>-9240.2102067976739</v>
      </c>
      <c r="K107" s="5">
        <f t="shared" si="41"/>
        <v>-9439.9184216658196</v>
      </c>
      <c r="L107" s="5">
        <f t="shared" si="41"/>
        <v>-9646.5566760054771</v>
      </c>
    </row>
    <row r="108" spans="1:13">
      <c r="B108" s="52"/>
      <c r="C108" s="48"/>
      <c r="D108" s="48"/>
      <c r="E108" s="48"/>
      <c r="F108" s="48"/>
      <c r="G108" s="48"/>
      <c r="H108" s="48"/>
      <c r="I108" s="48"/>
      <c r="J108" s="48"/>
      <c r="K108" s="48"/>
      <c r="L108" s="48"/>
    </row>
    <row r="109" spans="1:13"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55"/>
    </row>
    <row r="110" spans="1:13">
      <c r="B110" s="56" t="s">
        <v>362</v>
      </c>
      <c r="C110" s="30"/>
      <c r="D110" s="30"/>
      <c r="E110" s="30"/>
      <c r="F110" s="30"/>
      <c r="G110" s="30"/>
      <c r="H110" s="30"/>
      <c r="I110" s="30"/>
      <c r="J110" s="30"/>
      <c r="K110" s="30"/>
      <c r="L110" s="57"/>
    </row>
    <row r="111" spans="1:13">
      <c r="A111" s="31"/>
      <c r="B111" s="58" t="s">
        <v>358</v>
      </c>
      <c r="C111" s="22">
        <f>((1-L11)*((Hydro!$AA$44-Hydro!$V$44)*Hydro!$AI$213))*(0.25+(2/3*0.25))</f>
        <v>90.857676523437462</v>
      </c>
      <c r="D111" s="22">
        <f>-(1-$L$11)*(Hydro!AB64)</f>
        <v>234.26891004070291</v>
      </c>
      <c r="E111" s="22">
        <f>-(1-$L$11)*(Hydro!AC64)</f>
        <v>237.23354680151181</v>
      </c>
      <c r="F111" s="22">
        <f>-(1-$L$11)*(Hydro!AD64)</f>
        <v>242.65320197887615</v>
      </c>
      <c r="G111" s="22">
        <f>-(1-$L$11)*(Hydro!AE64)</f>
        <v>250.28150934433071</v>
      </c>
      <c r="H111" s="22">
        <f>-(1-$L$11)*(Hydro!AF64)</f>
        <v>260.08409399397732</v>
      </c>
      <c r="I111" s="22">
        <f>-(1-$L$11)*(Hydro!AG64)</f>
        <v>257.93189048250332</v>
      </c>
      <c r="J111" s="22">
        <f>-(1-$L$11)*(Hydro!AH64)</f>
        <v>263.77202484200342</v>
      </c>
      <c r="K111" s="22">
        <f>J111*(1+$G$6)</f>
        <v>274.32290583568357</v>
      </c>
      <c r="L111" s="59">
        <f>K111*(1+$G$6)</f>
        <v>285.2958220691109</v>
      </c>
      <c r="M111" s="5"/>
    </row>
    <row r="112" spans="1:13">
      <c r="A112" s="31"/>
      <c r="B112" s="58" t="s">
        <v>359</v>
      </c>
      <c r="C112" s="24">
        <f>-((L11)*((Hydro!$AA$44-Hydro!$V$44)*Hydro!$AJ$213))*(0.25+(2/3*0.25))</f>
        <v>-81.136715471974554</v>
      </c>
      <c r="D112" s="24">
        <f>-$L$11*(Hydro!AB44*Hydro!$AJ$213)</f>
        <v>-209.20422605126706</v>
      </c>
      <c r="E112" s="24">
        <f>-$L$11*(Hydro!AC44*Hydro!$AJ$213)</f>
        <v>-211.85167311951184</v>
      </c>
      <c r="F112" s="24">
        <f>-$L$11*(Hydro!AD44*Hydro!$AJ$213)</f>
        <v>-216.69147352942653</v>
      </c>
      <c r="G112" s="24">
        <f>-$L$11*(Hydro!AE44*Hydro!$AJ$213)</f>
        <v>-223.5036200417137</v>
      </c>
      <c r="H112" s="24">
        <f>-$L$11*(Hydro!AF44*Hydro!$AJ$213)</f>
        <v>-232.25741556061141</v>
      </c>
      <c r="I112" s="24">
        <f>-$L$11*(Hydro!AG44*Hydro!$AJ$213)</f>
        <v>-230.33547862990858</v>
      </c>
      <c r="J112" s="24">
        <f>-$L$11*(Hydro!AH44*Hydro!$AJ$213)</f>
        <v>-235.55077069961749</v>
      </c>
      <c r="K112" s="24">
        <f>J112*(1+$G$6)</f>
        <v>-244.9728015276022</v>
      </c>
      <c r="L112" s="60">
        <f>K112*(1+$G$6)</f>
        <v>-254.77171358870629</v>
      </c>
    </row>
    <row r="113" spans="2:24">
      <c r="B113" s="58" t="s">
        <v>360</v>
      </c>
      <c r="C113" s="22">
        <f>C111+C112</f>
        <v>9.7209610514629077</v>
      </c>
      <c r="D113" s="22">
        <f>D111+D112</f>
        <v>25.064683989435849</v>
      </c>
      <c r="E113" s="22">
        <f>E111+E112</f>
        <v>25.381873681999963</v>
      </c>
      <c r="F113" s="22">
        <f>F111+F112</f>
        <v>25.961728449449623</v>
      </c>
      <c r="G113" s="22">
        <f>G111+G112</f>
        <v>26.777889302617012</v>
      </c>
      <c r="H113" s="22">
        <f t="shared" ref="H113:I113" si="42">H111+H112</f>
        <v>27.826678433365913</v>
      </c>
      <c r="I113" s="22">
        <f t="shared" si="42"/>
        <v>27.596411852594741</v>
      </c>
      <c r="J113" s="22">
        <f>J111+J112</f>
        <v>28.221254142385931</v>
      </c>
      <c r="K113" s="22">
        <f>K111+K112</f>
        <v>29.35010430808137</v>
      </c>
      <c r="L113" s="59">
        <f>L111+L112</f>
        <v>30.524108480404607</v>
      </c>
    </row>
    <row r="114" spans="2:24">
      <c r="B114" s="58" t="s">
        <v>361</v>
      </c>
      <c r="C114" s="22">
        <f>-C113</f>
        <v>-9.7209610514629077</v>
      </c>
      <c r="D114" s="22">
        <f>-D113</f>
        <v>-25.064683989435849</v>
      </c>
      <c r="E114" s="22">
        <f>-E113</f>
        <v>-25.381873681999963</v>
      </c>
      <c r="F114" s="22">
        <f>-F113</f>
        <v>-25.961728449449623</v>
      </c>
      <c r="G114" s="22">
        <f>-G113</f>
        <v>-26.777889302617012</v>
      </c>
      <c r="H114" s="22">
        <f t="shared" ref="H114" si="43">-H113</f>
        <v>-27.826678433365913</v>
      </c>
      <c r="I114" s="22">
        <f>-I113</f>
        <v>-27.596411852594741</v>
      </c>
      <c r="J114" s="22">
        <f>-J113</f>
        <v>-28.221254142385931</v>
      </c>
      <c r="K114" s="22">
        <f>-K113</f>
        <v>-29.35010430808137</v>
      </c>
      <c r="L114" s="59">
        <f>-L113</f>
        <v>-30.524108480404607</v>
      </c>
    </row>
    <row r="115" spans="2:24">
      <c r="B115" s="58"/>
      <c r="C115" s="30"/>
      <c r="D115" s="30"/>
      <c r="E115" s="30"/>
      <c r="F115" s="30"/>
      <c r="G115" s="30"/>
      <c r="H115" s="30"/>
      <c r="I115" s="30"/>
      <c r="J115" s="30"/>
      <c r="K115" s="30"/>
      <c r="L115" s="57"/>
    </row>
    <row r="116" spans="2:24">
      <c r="B116" s="56" t="s">
        <v>363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57"/>
    </row>
    <row r="117" spans="2:24">
      <c r="B117" s="61" t="s">
        <v>342</v>
      </c>
      <c r="C117" s="22">
        <f t="shared" ref="C117:L117" si="44">C24</f>
        <v>-48.554999999999993</v>
      </c>
      <c r="D117" s="22">
        <f t="shared" si="44"/>
        <v>-242.38655999999997</v>
      </c>
      <c r="E117" s="22">
        <f t="shared" si="44"/>
        <v>-378.12303359999999</v>
      </c>
      <c r="F117" s="22">
        <f t="shared" si="44"/>
        <v>-524.33060659199998</v>
      </c>
      <c r="G117" s="22">
        <f t="shared" si="44"/>
        <v>-545.30383085568008</v>
      </c>
      <c r="H117" s="22">
        <f t="shared" si="44"/>
        <v>-567.11598408990733</v>
      </c>
      <c r="I117" s="22">
        <f t="shared" si="44"/>
        <v>-589.80062345350359</v>
      </c>
      <c r="J117" s="22">
        <f t="shared" si="44"/>
        <v>-613.39264839164377</v>
      </c>
      <c r="K117" s="22">
        <f t="shared" si="44"/>
        <v>-637.92835432730953</v>
      </c>
      <c r="L117" s="59">
        <f t="shared" si="44"/>
        <v>-663.44548850040201</v>
      </c>
    </row>
    <row r="118" spans="2:24">
      <c r="B118" s="61" t="s">
        <v>343</v>
      </c>
      <c r="C118" s="24">
        <f t="shared" ref="C118:L118" si="45">-(C44+C53)</f>
        <v>-172.78838374431098</v>
      </c>
      <c r="D118" s="24">
        <f t="shared" si="45"/>
        <v>-305.36847954559653</v>
      </c>
      <c r="E118" s="24">
        <f t="shared" si="45"/>
        <v>-167.30737201244486</v>
      </c>
      <c r="F118" s="24">
        <f t="shared" si="45"/>
        <v>-25.961728449449623</v>
      </c>
      <c r="G118" s="24">
        <f t="shared" si="45"/>
        <v>-26.777889302617012</v>
      </c>
      <c r="H118" s="24">
        <f t="shared" si="45"/>
        <v>-27.826678433365913</v>
      </c>
      <c r="I118" s="24">
        <f t="shared" si="45"/>
        <v>-27.596411852594741</v>
      </c>
      <c r="J118" s="24">
        <f t="shared" si="45"/>
        <v>-28.221254142385931</v>
      </c>
      <c r="K118" s="24">
        <f t="shared" si="45"/>
        <v>-29.35010430808137</v>
      </c>
      <c r="L118" s="60">
        <f t="shared" si="45"/>
        <v>-30.524108480404607</v>
      </c>
    </row>
    <row r="119" spans="2:24">
      <c r="B119" s="58" t="s">
        <v>344</v>
      </c>
      <c r="C119" s="22">
        <f>C117+C118</f>
        <v>-221.34338374431098</v>
      </c>
      <c r="D119" s="22">
        <f t="shared" ref="D119:L119" si="46">D117+D118</f>
        <v>-547.75503954559645</v>
      </c>
      <c r="E119" s="22">
        <f>E117+E118</f>
        <v>-545.43040561244482</v>
      </c>
      <c r="F119" s="22">
        <f>F117+F118</f>
        <v>-550.29233504144963</v>
      </c>
      <c r="G119" s="22">
        <f>G117+G118</f>
        <v>-572.08172015829712</v>
      </c>
      <c r="H119" s="22">
        <f t="shared" si="46"/>
        <v>-594.94266252327327</v>
      </c>
      <c r="I119" s="22">
        <f t="shared" si="46"/>
        <v>-617.39703530609836</v>
      </c>
      <c r="J119" s="22">
        <f t="shared" si="46"/>
        <v>-641.61390253402965</v>
      </c>
      <c r="K119" s="22">
        <f t="shared" si="46"/>
        <v>-667.27845863539096</v>
      </c>
      <c r="L119" s="59">
        <f t="shared" si="46"/>
        <v>-693.96959698080661</v>
      </c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2:24">
      <c r="B120" s="58"/>
      <c r="C120" s="30"/>
      <c r="D120" s="30"/>
      <c r="E120" s="30"/>
      <c r="F120" s="30"/>
      <c r="G120" s="30"/>
      <c r="H120" s="30"/>
      <c r="I120" s="30"/>
      <c r="J120" s="30"/>
      <c r="K120" s="30"/>
      <c r="L120" s="57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2:24">
      <c r="B121" s="56" t="s">
        <v>364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57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2:24">
      <c r="B122" s="61" t="s">
        <v>342</v>
      </c>
      <c r="C122" s="22">
        <f t="shared" ref="C122:L122" si="47">C117-C94</f>
        <v>145.66499999999996</v>
      </c>
      <c r="D122" s="22">
        <f t="shared" si="47"/>
        <v>242.38655999999997</v>
      </c>
      <c r="E122" s="22">
        <f t="shared" si="47"/>
        <v>126.04101120000001</v>
      </c>
      <c r="F122" s="22">
        <f t="shared" si="47"/>
        <v>0</v>
      </c>
      <c r="G122" s="22">
        <f t="shared" si="47"/>
        <v>0</v>
      </c>
      <c r="H122" s="22">
        <f t="shared" si="47"/>
        <v>0</v>
      </c>
      <c r="I122" s="22">
        <f t="shared" si="47"/>
        <v>0</v>
      </c>
      <c r="J122" s="22">
        <f t="shared" si="47"/>
        <v>0</v>
      </c>
      <c r="K122" s="22">
        <f t="shared" si="47"/>
        <v>0</v>
      </c>
      <c r="L122" s="59">
        <f t="shared" si="47"/>
        <v>0</v>
      </c>
    </row>
    <row r="123" spans="2:24">
      <c r="B123" s="61" t="s">
        <v>343</v>
      </c>
      <c r="C123" s="24">
        <f t="shared" ref="C123:L123" si="48">C118-C95</f>
        <v>-163.06742269284808</v>
      </c>
      <c r="D123" s="24">
        <f t="shared" si="48"/>
        <v>-280.30379555616071</v>
      </c>
      <c r="E123" s="24">
        <f t="shared" si="48"/>
        <v>-141.9254983304449</v>
      </c>
      <c r="F123" s="24">
        <f t="shared" si="48"/>
        <v>0</v>
      </c>
      <c r="G123" s="24">
        <f t="shared" si="48"/>
        <v>0</v>
      </c>
      <c r="H123" s="24">
        <f t="shared" si="48"/>
        <v>0</v>
      </c>
      <c r="I123" s="24">
        <f t="shared" si="48"/>
        <v>0</v>
      </c>
      <c r="J123" s="24">
        <f t="shared" si="48"/>
        <v>0</v>
      </c>
      <c r="K123" s="24">
        <f t="shared" si="48"/>
        <v>0</v>
      </c>
      <c r="L123" s="60">
        <f t="shared" si="48"/>
        <v>0</v>
      </c>
    </row>
    <row r="124" spans="2:24">
      <c r="B124" s="58" t="s">
        <v>345</v>
      </c>
      <c r="C124" s="22">
        <f>SUM(C122:C123)</f>
        <v>-17.40242269284812</v>
      </c>
      <c r="D124" s="22">
        <f>SUM(D122:D123)</f>
        <v>-37.917235556160733</v>
      </c>
      <c r="E124" s="22">
        <f>SUM(E122:E123)</f>
        <v>-15.884487130444882</v>
      </c>
      <c r="F124" s="22">
        <f>SUM(F122:F123)</f>
        <v>0</v>
      </c>
      <c r="G124" s="22">
        <f t="shared" ref="G124:L124" si="49">SUM(G122:G123)</f>
        <v>0</v>
      </c>
      <c r="H124" s="22">
        <f t="shared" si="49"/>
        <v>0</v>
      </c>
      <c r="I124" s="22">
        <f t="shared" si="49"/>
        <v>0</v>
      </c>
      <c r="J124" s="22">
        <f t="shared" si="49"/>
        <v>0</v>
      </c>
      <c r="K124" s="22">
        <f t="shared" si="49"/>
        <v>0</v>
      </c>
      <c r="L124" s="59">
        <f t="shared" si="49"/>
        <v>0</v>
      </c>
    </row>
    <row r="125" spans="2:24">
      <c r="B125" s="62"/>
      <c r="C125" s="48"/>
      <c r="D125" s="48"/>
      <c r="E125" s="48"/>
      <c r="F125" s="48"/>
      <c r="G125" s="48"/>
      <c r="H125" s="48"/>
      <c r="I125" s="48"/>
      <c r="J125" s="48"/>
      <c r="K125" s="48"/>
      <c r="L125" s="63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7" spans="2:24"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2:24"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5:24">
      <c r="O129" s="5"/>
      <c r="P129" s="5"/>
      <c r="Q129" s="5"/>
      <c r="R129" s="5"/>
      <c r="S129" s="5"/>
      <c r="T129" s="5"/>
      <c r="U129" s="5"/>
      <c r="V129" s="5"/>
      <c r="W129" s="5"/>
      <c r="X129" s="5"/>
    </row>
  </sheetData>
  <dataConsolidate/>
  <mergeCells count="12">
    <mergeCell ref="R28:S28"/>
    <mergeCell ref="R22:S22"/>
    <mergeCell ref="R16:S16"/>
    <mergeCell ref="R17:S17"/>
    <mergeCell ref="R18:S18"/>
    <mergeCell ref="R19:S19"/>
    <mergeCell ref="R20:S20"/>
    <mergeCell ref="R12:S12"/>
    <mergeCell ref="R23:S23"/>
    <mergeCell ref="R24:S24"/>
    <mergeCell ref="R26:S26"/>
    <mergeCell ref="R27:S2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V249"/>
  <sheetViews>
    <sheetView zoomScaleNormal="100" workbookViewId="0">
      <pane xSplit="2" ySplit="3" topLeftCell="C4" activePane="bottomRight" state="frozen"/>
      <selection pane="topRight" activeCell="C1" sqref="C1"/>
      <selection pane="bottomLeft" activeCell="A2" sqref="A2"/>
      <selection pane="bottomRight"/>
    </sheetView>
  </sheetViews>
  <sheetFormatPr defaultRowHeight="12" outlineLevelCol="2"/>
  <cols>
    <col min="1" max="1" width="9.140625" style="5"/>
    <col min="2" max="2" width="19.5703125" style="87" customWidth="1"/>
    <col min="3" max="13" width="9.140625" style="5"/>
    <col min="14" max="17" width="9.140625" style="5" customWidth="1" outlineLevel="1"/>
    <col min="18" max="18" width="9.140625" style="5"/>
    <col min="19" max="19" width="9.140625" style="5" customWidth="1" outlineLevel="1"/>
    <col min="20" max="23" width="9.140625" style="5" customWidth="1" outlineLevel="2"/>
    <col min="24" max="26" width="9.140625" style="5" customWidth="1" outlineLevel="1"/>
    <col min="27" max="27" width="9.140625" style="5"/>
    <col min="28" max="28" width="9.28515625" style="5" customWidth="1"/>
    <col min="29" max="16384" width="9.140625" style="5"/>
  </cols>
  <sheetData>
    <row r="1" spans="2:48">
      <c r="R1" s="42"/>
      <c r="AE1" s="42"/>
    </row>
    <row r="2" spans="2:48">
      <c r="D2" s="42"/>
      <c r="E2" s="42"/>
      <c r="F2" s="42"/>
      <c r="G2" s="42"/>
      <c r="H2" s="42"/>
      <c r="I2" s="42"/>
      <c r="J2" s="42"/>
      <c r="K2" s="42"/>
      <c r="L2" s="42"/>
      <c r="M2" s="42"/>
      <c r="R2" s="42"/>
      <c r="AA2" s="31"/>
    </row>
    <row r="3" spans="2:48">
      <c r="B3" s="299" t="s">
        <v>82</v>
      </c>
      <c r="C3" s="300">
        <v>2003</v>
      </c>
      <c r="D3" s="300">
        <v>2004</v>
      </c>
      <c r="E3" s="300">
        <v>2005</v>
      </c>
      <c r="F3" s="300">
        <v>2006</v>
      </c>
      <c r="G3" s="300">
        <v>2007</v>
      </c>
      <c r="H3" s="300">
        <v>2008</v>
      </c>
      <c r="I3" s="300">
        <v>2009</v>
      </c>
      <c r="J3" s="300">
        <v>2010</v>
      </c>
      <c r="K3" s="300">
        <v>2011</v>
      </c>
      <c r="L3" s="300">
        <v>2012</v>
      </c>
      <c r="M3" s="301">
        <v>2013</v>
      </c>
      <c r="N3" s="302" t="s">
        <v>75</v>
      </c>
      <c r="O3" s="302" t="s">
        <v>76</v>
      </c>
      <c r="P3" s="302" t="s">
        <v>77</v>
      </c>
      <c r="Q3" s="303" t="s">
        <v>78</v>
      </c>
      <c r="R3" s="304">
        <v>2014</v>
      </c>
      <c r="S3" s="305" t="s">
        <v>79</v>
      </c>
      <c r="T3" s="302" t="s">
        <v>83</v>
      </c>
      <c r="U3" s="306" t="s">
        <v>203</v>
      </c>
      <c r="V3" s="306" t="s">
        <v>56</v>
      </c>
      <c r="W3" s="306" t="s">
        <v>204</v>
      </c>
      <c r="X3" s="307" t="s">
        <v>83</v>
      </c>
      <c r="Y3" s="307" t="s">
        <v>84</v>
      </c>
      <c r="Z3" s="308" t="s">
        <v>85</v>
      </c>
      <c r="AA3" s="307">
        <v>2015</v>
      </c>
      <c r="AB3" s="307">
        <v>2016</v>
      </c>
      <c r="AC3" s="307">
        <v>2017</v>
      </c>
      <c r="AD3" s="307">
        <v>2018</v>
      </c>
      <c r="AE3" s="307">
        <v>2019</v>
      </c>
      <c r="AF3" s="307">
        <v>2020</v>
      </c>
      <c r="AG3" s="307">
        <v>2021</v>
      </c>
      <c r="AH3" s="307">
        <v>2022</v>
      </c>
    </row>
    <row r="4" spans="2:48">
      <c r="M4" s="59"/>
      <c r="Q4" s="59"/>
      <c r="R4" s="89"/>
      <c r="S4" s="22"/>
      <c r="X4" s="22"/>
      <c r="Y4" s="22"/>
      <c r="Z4" s="59"/>
      <c r="AA4" s="22"/>
      <c r="AB4" s="22"/>
      <c r="AC4" s="22"/>
      <c r="AD4" s="22"/>
      <c r="AE4" s="22"/>
      <c r="AF4" s="22"/>
      <c r="AG4" s="22"/>
      <c r="AH4" s="22"/>
      <c r="AV4" s="42"/>
    </row>
    <row r="5" spans="2:48">
      <c r="B5" s="299" t="s">
        <v>14</v>
      </c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1"/>
      <c r="N5" s="292"/>
      <c r="O5" s="292"/>
      <c r="P5" s="292"/>
      <c r="Q5" s="293"/>
      <c r="R5" s="294"/>
      <c r="S5" s="295"/>
      <c r="T5" s="292"/>
      <c r="U5" s="298"/>
      <c r="V5" s="298"/>
      <c r="W5" s="298"/>
      <c r="X5" s="296"/>
      <c r="Y5" s="296"/>
      <c r="Z5" s="297"/>
      <c r="AA5" s="296"/>
      <c r="AB5" s="296"/>
      <c r="AC5" s="296"/>
      <c r="AD5" s="296"/>
      <c r="AE5" s="296"/>
      <c r="AF5" s="296"/>
      <c r="AG5" s="296"/>
      <c r="AH5" s="296"/>
    </row>
    <row r="6" spans="2:48">
      <c r="M6" s="59"/>
      <c r="Q6" s="59"/>
      <c r="R6" s="89"/>
      <c r="S6" s="22"/>
      <c r="Y6" s="22"/>
      <c r="Z6" s="59"/>
      <c r="AA6" s="22"/>
      <c r="AB6" s="22"/>
      <c r="AC6" s="22"/>
      <c r="AD6" s="22"/>
      <c r="AE6" s="22"/>
      <c r="AF6" s="22"/>
      <c r="AG6" s="22"/>
      <c r="AH6" s="22"/>
      <c r="AM6" s="31"/>
      <c r="AN6" s="31"/>
      <c r="AO6" s="31"/>
      <c r="AP6" s="31"/>
      <c r="AQ6" s="31"/>
      <c r="AR6" s="31"/>
      <c r="AS6" s="31"/>
      <c r="AT6" s="31"/>
      <c r="AU6" s="31"/>
      <c r="AV6" s="31"/>
    </row>
    <row r="7" spans="2:48">
      <c r="B7" s="90" t="s">
        <v>0</v>
      </c>
      <c r="M7" s="59"/>
      <c r="Q7" s="59"/>
      <c r="R7" s="89"/>
      <c r="S7" s="22"/>
      <c r="Y7" s="22"/>
      <c r="Z7" s="59"/>
      <c r="AA7" s="22"/>
      <c r="AB7" s="22"/>
      <c r="AC7" s="22"/>
      <c r="AD7" s="22"/>
      <c r="AE7" s="22"/>
      <c r="AF7" s="22"/>
      <c r="AG7" s="22"/>
      <c r="AH7" s="22"/>
    </row>
    <row r="8" spans="2:48">
      <c r="B8" s="87" t="s">
        <v>1</v>
      </c>
      <c r="C8" s="22">
        <v>2734</v>
      </c>
      <c r="D8" s="22">
        <v>2874</v>
      </c>
      <c r="E8" s="22">
        <v>3085</v>
      </c>
      <c r="F8" s="22">
        <v>3273</v>
      </c>
      <c r="G8" s="22">
        <v>3382</v>
      </c>
      <c r="H8" s="22">
        <v>3334</v>
      </c>
      <c r="I8" s="22">
        <v>3534</v>
      </c>
      <c r="J8" s="22">
        <v>3754</v>
      </c>
      <c r="K8" s="22">
        <v>4019</v>
      </c>
      <c r="L8" s="22">
        <v>4184</v>
      </c>
      <c r="M8" s="59">
        <v>4484</v>
      </c>
      <c r="N8" s="22">
        <v>1327</v>
      </c>
      <c r="O8" s="22">
        <v>1170</v>
      </c>
      <c r="P8" s="22">
        <v>1138</v>
      </c>
      <c r="Q8" s="59">
        <f>R8-P8-O8-N8</f>
        <v>1268</v>
      </c>
      <c r="R8" s="89">
        <v>4903</v>
      </c>
      <c r="S8" s="22">
        <v>1389</v>
      </c>
      <c r="T8" s="22">
        <v>1185</v>
      </c>
      <c r="U8" s="22">
        <v>-254</v>
      </c>
      <c r="V8" s="22"/>
      <c r="W8" s="22"/>
      <c r="X8" s="22">
        <f>T8+(U8/2)</f>
        <v>1058</v>
      </c>
      <c r="Y8" s="22">
        <f>X8*(1+Y184)</f>
        <v>1110.9000000000001</v>
      </c>
      <c r="Z8" s="59">
        <f>Y8*(1+Z184)</f>
        <v>1166.4450000000002</v>
      </c>
      <c r="AA8" s="22">
        <f>SUM(X8:Z8)+S8</f>
        <v>4724.3450000000003</v>
      </c>
      <c r="AB8" s="22">
        <f t="shared" ref="AB8:AH9" si="0">AA8*(1+AB184)</f>
        <v>4984.1839749999999</v>
      </c>
      <c r="AC8" s="22">
        <f t="shared" si="0"/>
        <v>5258.3140936249993</v>
      </c>
      <c r="AD8" s="22">
        <f t="shared" si="0"/>
        <v>5547.5213687743735</v>
      </c>
      <c r="AE8" s="22">
        <f t="shared" si="0"/>
        <v>5852.635044056964</v>
      </c>
      <c r="AF8" s="22">
        <f t="shared" si="0"/>
        <v>6174.5299714800967</v>
      </c>
      <c r="AG8" s="22">
        <f t="shared" si="0"/>
        <v>6514.1291199115012</v>
      </c>
      <c r="AH8" s="22">
        <f t="shared" si="0"/>
        <v>6872.4062215066333</v>
      </c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</row>
    <row r="9" spans="2:48">
      <c r="B9" s="87" t="s">
        <v>2</v>
      </c>
      <c r="C9" s="22">
        <v>1298</v>
      </c>
      <c r="D9" s="22">
        <v>1262</v>
      </c>
      <c r="E9" s="22">
        <v>1310</v>
      </c>
      <c r="F9" s="22">
        <v>1245</v>
      </c>
      <c r="G9" s="22">
        <v>1242</v>
      </c>
      <c r="H9" s="22">
        <v>1212</v>
      </c>
      <c r="I9" s="22">
        <v>1147</v>
      </c>
      <c r="J9" s="22">
        <v>1307</v>
      </c>
      <c r="K9" s="22">
        <v>1389</v>
      </c>
      <c r="L9" s="22">
        <v>1482</v>
      </c>
      <c r="M9" s="59">
        <v>1529</v>
      </c>
      <c r="N9" s="22">
        <v>422</v>
      </c>
      <c r="O9" s="22">
        <v>382</v>
      </c>
      <c r="P9" s="22">
        <v>402</v>
      </c>
      <c r="Q9" s="59">
        <f>R9-P9-O9-N9</f>
        <v>382</v>
      </c>
      <c r="R9" s="89">
        <v>1588</v>
      </c>
      <c r="S9" s="22">
        <v>406</v>
      </c>
      <c r="T9" s="22">
        <v>364</v>
      </c>
      <c r="U9" s="22"/>
      <c r="V9" s="22"/>
      <c r="W9" s="22"/>
      <c r="X9" s="22">
        <f>T9</f>
        <v>364</v>
      </c>
      <c r="Y9" s="22">
        <f>X9*(1+Y185)</f>
        <v>365.81999999999994</v>
      </c>
      <c r="Z9" s="59">
        <f>Y9*(1+Z185)</f>
        <v>367.64909999999992</v>
      </c>
      <c r="AA9" s="22">
        <f>SUM(X9:Z9)+S9</f>
        <v>1503.4690999999998</v>
      </c>
      <c r="AB9" s="22">
        <f t="shared" si="0"/>
        <v>1548.5731729999998</v>
      </c>
      <c r="AC9" s="22">
        <f t="shared" si="0"/>
        <v>1579.5446364599998</v>
      </c>
      <c r="AD9" s="22">
        <f t="shared" si="0"/>
        <v>1611.1355291891998</v>
      </c>
      <c r="AE9" s="22">
        <f t="shared" si="0"/>
        <v>1643.3582397729838</v>
      </c>
      <c r="AF9" s="22">
        <f t="shared" si="0"/>
        <v>1676.2254045684435</v>
      </c>
      <c r="AG9" s="22">
        <f t="shared" si="0"/>
        <v>1709.7499126598125</v>
      </c>
      <c r="AH9" s="22">
        <f t="shared" si="0"/>
        <v>1743.9449109130087</v>
      </c>
    </row>
    <row r="10" spans="2:48">
      <c r="B10" s="87" t="s">
        <v>3</v>
      </c>
      <c r="C10" s="24">
        <v>26</v>
      </c>
      <c r="D10" s="24">
        <v>17</v>
      </c>
      <c r="E10" s="24">
        <v>21</v>
      </c>
      <c r="F10" s="24">
        <v>27</v>
      </c>
      <c r="G10" s="24">
        <v>31</v>
      </c>
      <c r="H10" s="24">
        <v>51</v>
      </c>
      <c r="I10" s="24">
        <v>63</v>
      </c>
      <c r="J10" s="24">
        <v>63</v>
      </c>
      <c r="K10" s="24">
        <v>63</v>
      </c>
      <c r="L10" s="24">
        <v>62</v>
      </c>
      <c r="M10" s="60">
        <v>61</v>
      </c>
      <c r="N10" s="24">
        <v>15</v>
      </c>
      <c r="O10" s="24">
        <v>14</v>
      </c>
      <c r="P10" s="24">
        <v>16</v>
      </c>
      <c r="Q10" s="60">
        <f>R10-P10-O10-N10</f>
        <v>12</v>
      </c>
      <c r="R10" s="92">
        <v>57</v>
      </c>
      <c r="S10" s="24">
        <v>13</v>
      </c>
      <c r="T10" s="24">
        <v>14</v>
      </c>
      <c r="U10" s="24"/>
      <c r="V10" s="24"/>
      <c r="W10" s="24"/>
      <c r="X10" s="24">
        <f>T10</f>
        <v>14</v>
      </c>
      <c r="Y10" s="26">
        <v>15</v>
      </c>
      <c r="Z10" s="93">
        <v>15</v>
      </c>
      <c r="AA10" s="24">
        <f>SUM(X10:Z10)+S10</f>
        <v>57</v>
      </c>
      <c r="AB10" s="26">
        <v>60</v>
      </c>
      <c r="AC10" s="26">
        <v>60</v>
      </c>
      <c r="AD10" s="26">
        <v>60</v>
      </c>
      <c r="AE10" s="26">
        <v>60</v>
      </c>
      <c r="AF10" s="26">
        <v>60</v>
      </c>
      <c r="AG10" s="26">
        <v>60</v>
      </c>
      <c r="AH10" s="26">
        <v>60</v>
      </c>
    </row>
    <row r="11" spans="2:48">
      <c r="C11" s="17">
        <f t="shared" ref="C11:K11" si="1">SUM(C8:C10)</f>
        <v>4058</v>
      </c>
      <c r="D11" s="17">
        <f t="shared" si="1"/>
        <v>4153</v>
      </c>
      <c r="E11" s="17">
        <f t="shared" si="1"/>
        <v>4416</v>
      </c>
      <c r="F11" s="17">
        <f t="shared" si="1"/>
        <v>4545</v>
      </c>
      <c r="G11" s="17">
        <f t="shared" si="1"/>
        <v>4655</v>
      </c>
      <c r="H11" s="17">
        <f t="shared" si="1"/>
        <v>4597</v>
      </c>
      <c r="I11" s="17">
        <f t="shared" si="1"/>
        <v>4744</v>
      </c>
      <c r="J11" s="17">
        <f t="shared" si="1"/>
        <v>5124</v>
      </c>
      <c r="K11" s="17">
        <f t="shared" si="1"/>
        <v>5471</v>
      </c>
      <c r="L11" s="17">
        <f t="shared" ref="L11:AH11" si="2">SUM(L8:L10)</f>
        <v>5728</v>
      </c>
      <c r="M11" s="94">
        <f t="shared" si="2"/>
        <v>6074</v>
      </c>
      <c r="N11" s="17">
        <f t="shared" si="2"/>
        <v>1764</v>
      </c>
      <c r="O11" s="17">
        <f t="shared" si="2"/>
        <v>1566</v>
      </c>
      <c r="P11" s="17">
        <f t="shared" si="2"/>
        <v>1556</v>
      </c>
      <c r="Q11" s="94">
        <f t="shared" si="2"/>
        <v>1662</v>
      </c>
      <c r="R11" s="95">
        <f t="shared" si="2"/>
        <v>6548</v>
      </c>
      <c r="S11" s="96">
        <f>SUM(S8:S10)</f>
        <v>1808</v>
      </c>
      <c r="T11" s="17">
        <f>SUM(T8:T10)</f>
        <v>1563</v>
      </c>
      <c r="U11" s="17">
        <f>SUM(U8:U10)</f>
        <v>-254</v>
      </c>
      <c r="V11" s="17"/>
      <c r="W11" s="17"/>
      <c r="X11" s="17">
        <f>SUM(X8:X10)</f>
        <v>1436</v>
      </c>
      <c r="Y11" s="96">
        <f>SUM(Y8:Y10)</f>
        <v>1491.72</v>
      </c>
      <c r="Z11" s="94">
        <f>SUM(Z8:Z10)</f>
        <v>1549.0941</v>
      </c>
      <c r="AA11" s="96">
        <f>SUM(AA8:AA10)</f>
        <v>6284.8140999999996</v>
      </c>
      <c r="AB11" s="96">
        <f>SUM(AB8:AB10)</f>
        <v>6592.7571479999997</v>
      </c>
      <c r="AC11" s="96">
        <f t="shared" si="2"/>
        <v>6897.8587300849995</v>
      </c>
      <c r="AD11" s="96">
        <f t="shared" si="2"/>
        <v>7218.6568979635731</v>
      </c>
      <c r="AE11" s="96">
        <f t="shared" si="2"/>
        <v>7555.9932838299483</v>
      </c>
      <c r="AF11" s="96">
        <f t="shared" si="2"/>
        <v>7910.7553760485407</v>
      </c>
      <c r="AG11" s="96">
        <f t="shared" si="2"/>
        <v>8283.8790325713144</v>
      </c>
      <c r="AH11" s="96">
        <f t="shared" si="2"/>
        <v>8676.3511324196425</v>
      </c>
    </row>
    <row r="12" spans="2:48">
      <c r="B12" s="90" t="s">
        <v>4</v>
      </c>
      <c r="M12" s="59"/>
      <c r="Q12" s="59"/>
      <c r="R12" s="89"/>
      <c r="S12" s="22"/>
      <c r="Y12" s="22"/>
      <c r="Z12" s="59"/>
      <c r="AA12" s="22"/>
      <c r="AB12" s="22"/>
      <c r="AC12" s="22"/>
      <c r="AD12" s="22"/>
      <c r="AE12" s="22"/>
      <c r="AF12" s="22"/>
      <c r="AG12" s="22"/>
      <c r="AH12" s="22"/>
      <c r="AM12" s="42"/>
      <c r="AN12" s="42"/>
      <c r="AO12" s="42"/>
      <c r="AP12" s="42"/>
      <c r="AQ12" s="42"/>
      <c r="AR12" s="42"/>
      <c r="AS12" s="42"/>
      <c r="AT12" s="42"/>
      <c r="AU12" s="42"/>
      <c r="AV12" s="42"/>
    </row>
    <row r="13" spans="2:48">
      <c r="B13" s="87" t="s">
        <v>1</v>
      </c>
      <c r="C13" s="22">
        <v>-1872</v>
      </c>
      <c r="D13" s="22">
        <v>-1987</v>
      </c>
      <c r="E13" s="22">
        <v>-2131</v>
      </c>
      <c r="F13" s="22">
        <v>-2221</v>
      </c>
      <c r="G13" s="22">
        <v>-2240</v>
      </c>
      <c r="H13" s="22">
        <v>-2181</v>
      </c>
      <c r="I13" s="22">
        <v>-2326</v>
      </c>
      <c r="J13" s="22">
        <v>-2474</v>
      </c>
      <c r="K13" s="22">
        <v>-2628</v>
      </c>
      <c r="L13" s="22">
        <v>-2774</v>
      </c>
      <c r="M13" s="59">
        <v>-3020</v>
      </c>
      <c r="N13" s="22">
        <v>-922</v>
      </c>
      <c r="O13" s="22">
        <v>-824</v>
      </c>
      <c r="P13" s="22">
        <v>-780</v>
      </c>
      <c r="Q13" s="59">
        <f>R13-P13-O13-N13</f>
        <v>-893</v>
      </c>
      <c r="R13" s="89">
        <v>-3419</v>
      </c>
      <c r="S13" s="22">
        <v>-970</v>
      </c>
      <c r="T13" s="22">
        <v>-838</v>
      </c>
      <c r="U13" s="22">
        <v>218</v>
      </c>
      <c r="V13" s="22"/>
      <c r="W13" s="22"/>
      <c r="X13" s="22">
        <f>T13+(U13/2)</f>
        <v>-729</v>
      </c>
      <c r="Y13" s="22">
        <f>-Y188*Y8</f>
        <v>-744.30300000000011</v>
      </c>
      <c r="Z13" s="59">
        <f>-Z188*Z8</f>
        <v>-781.51815000000011</v>
      </c>
      <c r="AA13" s="22">
        <f>SUM(X13:Z13)+S13</f>
        <v>-3224.8211500000002</v>
      </c>
      <c r="AB13" s="22">
        <f>-AB188*AB8</f>
        <v>-3339.4032632500002</v>
      </c>
      <c r="AC13" s="22">
        <f t="shared" ref="AC13:AH13" si="3">-AC188*AC8</f>
        <v>-3523.0704427287496</v>
      </c>
      <c r="AD13" s="22">
        <f t="shared" si="3"/>
        <v>-3716.8393170788304</v>
      </c>
      <c r="AE13" s="22">
        <f t="shared" si="3"/>
        <v>-3921.2654795181661</v>
      </c>
      <c r="AF13" s="22">
        <f t="shared" si="3"/>
        <v>-4136.9350808916652</v>
      </c>
      <c r="AG13" s="22">
        <f t="shared" si="3"/>
        <v>-4364.466510340706</v>
      </c>
      <c r="AH13" s="22">
        <f t="shared" si="3"/>
        <v>-4604.5121684094447</v>
      </c>
    </row>
    <row r="14" spans="2:48">
      <c r="B14" s="87" t="s">
        <v>2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59">
        <v>0</v>
      </c>
      <c r="N14" s="22">
        <v>0</v>
      </c>
      <c r="O14" s="22">
        <v>0</v>
      </c>
      <c r="P14" s="22">
        <v>0</v>
      </c>
      <c r="Q14" s="59">
        <f>R14-P14-O14-N14</f>
        <v>0</v>
      </c>
      <c r="R14" s="89">
        <v>0</v>
      </c>
      <c r="S14" s="22">
        <v>0</v>
      </c>
      <c r="T14" s="22">
        <v>0</v>
      </c>
      <c r="U14" s="22"/>
      <c r="V14" s="22"/>
      <c r="W14" s="22"/>
      <c r="X14" s="22">
        <v>0</v>
      </c>
      <c r="Y14" s="41">
        <v>0</v>
      </c>
      <c r="Z14" s="97">
        <v>0</v>
      </c>
      <c r="AA14" s="22">
        <f>SUM(X14:Z14)+S14</f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</row>
    <row r="15" spans="2:48">
      <c r="B15" s="87" t="s">
        <v>3</v>
      </c>
      <c r="C15" s="98">
        <v>0</v>
      </c>
      <c r="D15" s="98">
        <v>91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  <c r="N15" s="98">
        <v>0</v>
      </c>
      <c r="O15" s="98">
        <v>0</v>
      </c>
      <c r="P15" s="98">
        <v>0</v>
      </c>
      <c r="Q15" s="99">
        <f>R15-P15-O15-N15</f>
        <v>0</v>
      </c>
      <c r="R15" s="100">
        <v>0</v>
      </c>
      <c r="S15" s="98">
        <v>0</v>
      </c>
      <c r="T15" s="98">
        <v>0</v>
      </c>
      <c r="U15" s="98"/>
      <c r="V15" s="98"/>
      <c r="W15" s="98"/>
      <c r="X15" s="98">
        <v>0</v>
      </c>
      <c r="Y15" s="101">
        <v>0</v>
      </c>
      <c r="Z15" s="102">
        <v>0</v>
      </c>
      <c r="AA15" s="98">
        <f>SUM(X15:Z15)+S15</f>
        <v>0</v>
      </c>
      <c r="AB15" s="101">
        <v>0</v>
      </c>
      <c r="AC15" s="101">
        <v>0</v>
      </c>
      <c r="AD15" s="101">
        <v>0</v>
      </c>
      <c r="AE15" s="101">
        <v>0</v>
      </c>
      <c r="AF15" s="101">
        <v>0</v>
      </c>
      <c r="AG15" s="101">
        <v>0</v>
      </c>
      <c r="AH15" s="101">
        <v>0</v>
      </c>
    </row>
    <row r="16" spans="2:48">
      <c r="B16" s="90" t="s">
        <v>70</v>
      </c>
      <c r="C16" s="96">
        <f t="shared" ref="C16:K16" si="4">SUM(C13:C15)</f>
        <v>-1872</v>
      </c>
      <c r="D16" s="96">
        <f t="shared" si="4"/>
        <v>-1896</v>
      </c>
      <c r="E16" s="96">
        <f t="shared" si="4"/>
        <v>-2131</v>
      </c>
      <c r="F16" s="96">
        <f t="shared" si="4"/>
        <v>-2221</v>
      </c>
      <c r="G16" s="96">
        <f t="shared" si="4"/>
        <v>-2240</v>
      </c>
      <c r="H16" s="96">
        <f t="shared" si="4"/>
        <v>-2181</v>
      </c>
      <c r="I16" s="96">
        <f t="shared" si="4"/>
        <v>-2326</v>
      </c>
      <c r="J16" s="96">
        <f t="shared" si="4"/>
        <v>-2474</v>
      </c>
      <c r="K16" s="96">
        <f t="shared" si="4"/>
        <v>-2628</v>
      </c>
      <c r="L16" s="96">
        <f t="shared" ref="L16:AH16" si="5">SUM(L13:L15)</f>
        <v>-2774</v>
      </c>
      <c r="M16" s="94">
        <f t="shared" si="5"/>
        <v>-3020</v>
      </c>
      <c r="N16" s="96">
        <f t="shared" si="5"/>
        <v>-922</v>
      </c>
      <c r="O16" s="96">
        <f t="shared" si="5"/>
        <v>-824</v>
      </c>
      <c r="P16" s="96">
        <f t="shared" si="5"/>
        <v>-780</v>
      </c>
      <c r="Q16" s="94">
        <f t="shared" si="5"/>
        <v>-893</v>
      </c>
      <c r="R16" s="95">
        <f t="shared" si="5"/>
        <v>-3419</v>
      </c>
      <c r="S16" s="96">
        <f t="shared" si="5"/>
        <v>-970</v>
      </c>
      <c r="T16" s="96">
        <f t="shared" si="5"/>
        <v>-838</v>
      </c>
      <c r="U16" s="96">
        <f>SUM(U13:U15)</f>
        <v>218</v>
      </c>
      <c r="V16" s="96"/>
      <c r="W16" s="96"/>
      <c r="X16" s="96">
        <f>SUM(X13:X15)</f>
        <v>-729</v>
      </c>
      <c r="Y16" s="96">
        <f>SUM(Y13:Y15)</f>
        <v>-744.30300000000011</v>
      </c>
      <c r="Z16" s="94">
        <f t="shared" si="5"/>
        <v>-781.51815000000011</v>
      </c>
      <c r="AA16" s="96">
        <f>SUM(AA13:AA15)</f>
        <v>-3224.8211500000002</v>
      </c>
      <c r="AB16" s="96">
        <f>SUM(AB13:AB15)</f>
        <v>-3339.4032632500002</v>
      </c>
      <c r="AC16" s="96">
        <f t="shared" si="5"/>
        <v>-3523.0704427287496</v>
      </c>
      <c r="AD16" s="96">
        <f t="shared" si="5"/>
        <v>-3716.8393170788304</v>
      </c>
      <c r="AE16" s="96">
        <f t="shared" si="5"/>
        <v>-3921.2654795181661</v>
      </c>
      <c r="AF16" s="96">
        <f t="shared" si="5"/>
        <v>-4136.9350808916652</v>
      </c>
      <c r="AG16" s="96">
        <f t="shared" si="5"/>
        <v>-4364.466510340706</v>
      </c>
      <c r="AH16" s="96">
        <f t="shared" si="5"/>
        <v>-4604.5121684094447</v>
      </c>
    </row>
    <row r="17" spans="2:48"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59"/>
      <c r="N17" s="22"/>
      <c r="O17" s="22"/>
      <c r="P17" s="22"/>
      <c r="Q17" s="59"/>
      <c r="R17" s="89"/>
      <c r="S17" s="22"/>
      <c r="T17" s="22"/>
      <c r="U17" s="22"/>
      <c r="V17" s="22"/>
      <c r="W17" s="22"/>
      <c r="X17" s="22"/>
      <c r="Y17" s="22"/>
      <c r="Z17" s="59"/>
      <c r="AA17" s="22"/>
      <c r="AB17" s="22"/>
      <c r="AC17" s="22"/>
      <c r="AD17" s="22"/>
      <c r="AE17" s="22"/>
      <c r="AF17" s="22"/>
      <c r="AG17" s="22"/>
      <c r="AH17" s="22"/>
    </row>
    <row r="18" spans="2:48">
      <c r="B18" s="87" t="s">
        <v>1</v>
      </c>
      <c r="C18" s="22">
        <v>-387</v>
      </c>
      <c r="D18" s="22">
        <v>-392</v>
      </c>
      <c r="E18" s="22">
        <v>-413</v>
      </c>
      <c r="F18" s="22">
        <v>-460</v>
      </c>
      <c r="G18" s="22">
        <v>-549</v>
      </c>
      <c r="H18" s="22">
        <v>-531</v>
      </c>
      <c r="I18" s="22">
        <v>-564</v>
      </c>
      <c r="J18" s="22">
        <v>-602</v>
      </c>
      <c r="K18" s="22">
        <v>-609</v>
      </c>
      <c r="L18" s="22">
        <v>-608</v>
      </c>
      <c r="M18" s="59">
        <v>-672</v>
      </c>
      <c r="N18" s="22">
        <v>-181</v>
      </c>
      <c r="O18" s="22">
        <v>-214</v>
      </c>
      <c r="P18" s="22">
        <v>-199</v>
      </c>
      <c r="Q18" s="59">
        <f>R18-P18-O18-N18</f>
        <v>-148</v>
      </c>
      <c r="R18" s="89">
        <v>-742</v>
      </c>
      <c r="S18" s="22">
        <v>-166</v>
      </c>
      <c r="T18" s="22">
        <v>-168</v>
      </c>
      <c r="U18" s="22">
        <v>14</v>
      </c>
      <c r="V18" s="22"/>
      <c r="W18" s="22"/>
      <c r="X18" s="22">
        <f>T18+(U18/2)</f>
        <v>-161</v>
      </c>
      <c r="Y18" s="22">
        <f>-Y191*Y8</f>
        <v>-166.63500000000002</v>
      </c>
      <c r="Z18" s="59">
        <f>-Z191*Z8</f>
        <v>-174.96675000000002</v>
      </c>
      <c r="AA18" s="22">
        <f>SUM(X18:Z18)+S18</f>
        <v>-668.60175000000004</v>
      </c>
      <c r="AB18" s="22">
        <f t="shared" ref="AB18:AH19" si="6">-AB191*AB8</f>
        <v>-747.62759625000001</v>
      </c>
      <c r="AC18" s="22">
        <f t="shared" si="6"/>
        <v>-788.74711404374989</v>
      </c>
      <c r="AD18" s="22">
        <f t="shared" si="6"/>
        <v>-832.12820531615603</v>
      </c>
      <c r="AE18" s="22">
        <f t="shared" si="6"/>
        <v>-877.89525660854463</v>
      </c>
      <c r="AF18" s="22">
        <f t="shared" si="6"/>
        <v>-926.17949572201451</v>
      </c>
      <c r="AG18" s="22">
        <f t="shared" si="6"/>
        <v>-977.11936798672514</v>
      </c>
      <c r="AH18" s="22">
        <f t="shared" si="6"/>
        <v>-1030.860933225995</v>
      </c>
    </row>
    <row r="19" spans="2:48">
      <c r="B19" s="87" t="s">
        <v>2</v>
      </c>
      <c r="C19" s="22">
        <v>-382</v>
      </c>
      <c r="D19" s="22">
        <v>-356</v>
      </c>
      <c r="E19" s="22">
        <v>-353</v>
      </c>
      <c r="F19" s="22">
        <v>-390</v>
      </c>
      <c r="G19" s="22">
        <v>-415</v>
      </c>
      <c r="H19" s="22">
        <v>-387</v>
      </c>
      <c r="I19" s="22">
        <v>-438</v>
      </c>
      <c r="J19" s="22">
        <v>-416</v>
      </c>
      <c r="K19" s="22">
        <v>-422</v>
      </c>
      <c r="L19" s="22">
        <v>-402</v>
      </c>
      <c r="M19" s="59">
        <v>-375</v>
      </c>
      <c r="N19" s="22">
        <v>-115</v>
      </c>
      <c r="O19" s="22">
        <v>-105</v>
      </c>
      <c r="P19" s="22">
        <v>-88</v>
      </c>
      <c r="Q19" s="59">
        <f>R19-P19-O19-N19</f>
        <v>-86</v>
      </c>
      <c r="R19" s="89">
        <v>-394</v>
      </c>
      <c r="S19" s="22">
        <v>-99</v>
      </c>
      <c r="T19" s="22">
        <v>-98</v>
      </c>
      <c r="U19" s="22"/>
      <c r="V19" s="22"/>
      <c r="W19" s="22"/>
      <c r="X19" s="22">
        <f>T19</f>
        <v>-98</v>
      </c>
      <c r="Y19" s="22">
        <f>-Y192*Y9</f>
        <v>-91.454999999999984</v>
      </c>
      <c r="Z19" s="59">
        <f>-Z192*Z9</f>
        <v>-91.91227499999998</v>
      </c>
      <c r="AA19" s="22">
        <f>SUM(X19:Z19)+S19</f>
        <v>-380.36727499999995</v>
      </c>
      <c r="AB19" s="22">
        <f t="shared" si="6"/>
        <v>-387.14329324999994</v>
      </c>
      <c r="AC19" s="22">
        <f t="shared" si="6"/>
        <v>-394.88615911499994</v>
      </c>
      <c r="AD19" s="22">
        <f t="shared" si="6"/>
        <v>-402.78388229729995</v>
      </c>
      <c r="AE19" s="22">
        <f t="shared" si="6"/>
        <v>-410.83955994324594</v>
      </c>
      <c r="AF19" s="22">
        <f t="shared" si="6"/>
        <v>-419.05635114211088</v>
      </c>
      <c r="AG19" s="22">
        <f t="shared" si="6"/>
        <v>-427.43747816495312</v>
      </c>
      <c r="AH19" s="22">
        <f t="shared" si="6"/>
        <v>-435.98622772825217</v>
      </c>
      <c r="AM19" s="31"/>
      <c r="AN19" s="31"/>
      <c r="AO19" s="31"/>
      <c r="AP19" s="31"/>
      <c r="AQ19" s="31"/>
      <c r="AR19" s="31"/>
      <c r="AS19" s="31"/>
      <c r="AT19" s="31"/>
      <c r="AU19" s="31"/>
      <c r="AV19" s="31"/>
    </row>
    <row r="20" spans="2:48">
      <c r="B20" s="87" t="s">
        <v>3</v>
      </c>
      <c r="C20" s="98">
        <v>-26</v>
      </c>
      <c r="D20" s="98">
        <v>-23</v>
      </c>
      <c r="E20" s="98">
        <v>-26</v>
      </c>
      <c r="F20" s="98">
        <v>-30</v>
      </c>
      <c r="G20" s="98">
        <v>-31</v>
      </c>
      <c r="H20" s="98">
        <v>-47</v>
      </c>
      <c r="I20" s="98">
        <v>-55</v>
      </c>
      <c r="J20" s="98">
        <v>-60</v>
      </c>
      <c r="K20" s="98">
        <v>-61</v>
      </c>
      <c r="L20" s="98">
        <v>-61</v>
      </c>
      <c r="M20" s="99">
        <v>-59</v>
      </c>
      <c r="N20" s="98">
        <v>-15</v>
      </c>
      <c r="O20" s="98">
        <v>-15</v>
      </c>
      <c r="P20" s="98">
        <v>-13</v>
      </c>
      <c r="Q20" s="99">
        <f>R20-P20-O20-N20</f>
        <v>-13</v>
      </c>
      <c r="R20" s="99">
        <v>-56</v>
      </c>
      <c r="S20" s="98">
        <v>-13</v>
      </c>
      <c r="T20" s="98">
        <v>-16</v>
      </c>
      <c r="U20" s="98"/>
      <c r="V20" s="98"/>
      <c r="W20" s="98"/>
      <c r="X20" s="98">
        <f>T20</f>
        <v>-16</v>
      </c>
      <c r="Y20" s="103">
        <v>-15</v>
      </c>
      <c r="Z20" s="104">
        <v>-15</v>
      </c>
      <c r="AA20" s="98">
        <f>SUM(X20:Z20)+S20</f>
        <v>-59</v>
      </c>
      <c r="AB20" s="103">
        <v>-60</v>
      </c>
      <c r="AC20" s="103">
        <v>-60</v>
      </c>
      <c r="AD20" s="103">
        <v>-60</v>
      </c>
      <c r="AE20" s="103">
        <v>-60</v>
      </c>
      <c r="AF20" s="103">
        <v>-60</v>
      </c>
      <c r="AG20" s="103">
        <v>-60</v>
      </c>
      <c r="AH20" s="103">
        <v>-60</v>
      </c>
    </row>
    <row r="21" spans="2:48">
      <c r="B21" s="90" t="s">
        <v>71</v>
      </c>
      <c r="C21" s="96">
        <f t="shared" ref="C21:K21" si="7">SUM(C18:C20)</f>
        <v>-795</v>
      </c>
      <c r="D21" s="96">
        <f t="shared" si="7"/>
        <v>-771</v>
      </c>
      <c r="E21" s="96">
        <f t="shared" si="7"/>
        <v>-792</v>
      </c>
      <c r="F21" s="96">
        <f t="shared" si="7"/>
        <v>-880</v>
      </c>
      <c r="G21" s="96">
        <f t="shared" si="7"/>
        <v>-995</v>
      </c>
      <c r="H21" s="96">
        <f t="shared" si="7"/>
        <v>-965</v>
      </c>
      <c r="I21" s="96">
        <f t="shared" si="7"/>
        <v>-1057</v>
      </c>
      <c r="J21" s="96">
        <f t="shared" si="7"/>
        <v>-1078</v>
      </c>
      <c r="K21" s="96">
        <f t="shared" si="7"/>
        <v>-1092</v>
      </c>
      <c r="L21" s="96">
        <f t="shared" ref="L21:S21" si="8">SUM(L18:L20)</f>
        <v>-1071</v>
      </c>
      <c r="M21" s="94">
        <f t="shared" si="8"/>
        <v>-1106</v>
      </c>
      <c r="N21" s="96">
        <f t="shared" si="8"/>
        <v>-311</v>
      </c>
      <c r="O21" s="96">
        <f t="shared" si="8"/>
        <v>-334</v>
      </c>
      <c r="P21" s="96">
        <f t="shared" si="8"/>
        <v>-300</v>
      </c>
      <c r="Q21" s="94">
        <f t="shared" si="8"/>
        <v>-247</v>
      </c>
      <c r="R21" s="94">
        <f t="shared" si="8"/>
        <v>-1192</v>
      </c>
      <c r="S21" s="96">
        <f t="shared" si="8"/>
        <v>-278</v>
      </c>
      <c r="T21" s="96">
        <f>SUM(T18:T20)</f>
        <v>-282</v>
      </c>
      <c r="U21" s="96">
        <f>SUM(U18:U20)</f>
        <v>14</v>
      </c>
      <c r="V21" s="96"/>
      <c r="W21" s="96"/>
      <c r="X21" s="96">
        <f>SUM(X18:X20)</f>
        <v>-275</v>
      </c>
      <c r="Y21" s="96">
        <f>SUM(Y18:Y20)</f>
        <v>-273.09000000000003</v>
      </c>
      <c r="Z21" s="94">
        <f>SUM(Z18:Z20)</f>
        <v>-281.87902500000001</v>
      </c>
      <c r="AA21" s="96">
        <f>SUM(AA18:AA20)</f>
        <v>-1107.9690249999999</v>
      </c>
      <c r="AB21" s="96">
        <f>SUM(AB18:AB20)</f>
        <v>-1194.7708895000001</v>
      </c>
      <c r="AC21" s="96">
        <f t="shared" ref="AC21:AH21" si="9">SUM(AC18:AC20)</f>
        <v>-1243.6332731587499</v>
      </c>
      <c r="AD21" s="96">
        <f t="shared" si="9"/>
        <v>-1294.9120876134559</v>
      </c>
      <c r="AE21" s="96">
        <f t="shared" si="9"/>
        <v>-1348.7348165517906</v>
      </c>
      <c r="AF21" s="96">
        <f t="shared" si="9"/>
        <v>-1405.2358468641255</v>
      </c>
      <c r="AG21" s="96">
        <f t="shared" si="9"/>
        <v>-1464.5568461516782</v>
      </c>
      <c r="AH21" s="96">
        <f t="shared" si="9"/>
        <v>-1526.8471609542471</v>
      </c>
    </row>
    <row r="22" spans="2:48"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59"/>
      <c r="N22" s="22"/>
      <c r="O22" s="22"/>
      <c r="P22" s="22"/>
      <c r="Q22" s="59"/>
      <c r="R22" s="59"/>
      <c r="S22" s="22"/>
      <c r="T22" s="22"/>
      <c r="U22" s="22"/>
      <c r="V22" s="22"/>
      <c r="W22" s="22"/>
      <c r="X22" s="22"/>
      <c r="Y22" s="22"/>
      <c r="Z22" s="59"/>
      <c r="AA22" s="22"/>
      <c r="AB22" s="22"/>
      <c r="AC22" s="22"/>
      <c r="AD22" s="22"/>
      <c r="AE22" s="22"/>
      <c r="AF22" s="22"/>
      <c r="AG22" s="22"/>
      <c r="AH22" s="22"/>
      <c r="AQ22" s="42"/>
      <c r="AV22" s="42"/>
    </row>
    <row r="23" spans="2:48">
      <c r="B23" s="87" t="s">
        <v>1</v>
      </c>
      <c r="C23" s="22">
        <v>-223</v>
      </c>
      <c r="D23" s="22">
        <v>-234</v>
      </c>
      <c r="E23" s="22">
        <v>-236</v>
      </c>
      <c r="F23" s="22">
        <v>-269</v>
      </c>
      <c r="G23" s="22">
        <v>-273</v>
      </c>
      <c r="H23" s="22">
        <v>-287</v>
      </c>
      <c r="I23" s="22">
        <v>-287</v>
      </c>
      <c r="J23" s="22">
        <v>-300</v>
      </c>
      <c r="K23" s="22">
        <v>-304</v>
      </c>
      <c r="L23" s="22">
        <v>-329</v>
      </c>
      <c r="M23" s="59">
        <v>-340</v>
      </c>
      <c r="N23" s="22">
        <v>-84</v>
      </c>
      <c r="O23" s="22">
        <v>-91</v>
      </c>
      <c r="P23" s="22">
        <v>-95</v>
      </c>
      <c r="Q23" s="59">
        <f>R23-P23-O23-N23</f>
        <v>-97</v>
      </c>
      <c r="R23" s="59">
        <v>-367</v>
      </c>
      <c r="S23" s="22">
        <v>-92</v>
      </c>
      <c r="T23" s="22">
        <v>-94</v>
      </c>
      <c r="U23" s="22">
        <v>9</v>
      </c>
      <c r="V23" s="22"/>
      <c r="W23" s="22"/>
      <c r="X23" s="22">
        <f>T23+(U23/2)</f>
        <v>-89.5</v>
      </c>
      <c r="Y23" s="22">
        <f>-Y196*X159</f>
        <v>-93.135000000000005</v>
      </c>
      <c r="Z23" s="59">
        <f>-Z196*Y159</f>
        <v>-94.510500000000008</v>
      </c>
      <c r="AA23" s="22">
        <f>SUM(X23:Z23)+S23</f>
        <v>-369.14549999999997</v>
      </c>
      <c r="AB23" s="22">
        <f>-AB201*AA162</f>
        <v>-410.9347515</v>
      </c>
      <c r="AC23" s="22">
        <f t="shared" ref="AC23:AH23" si="10">-AC201*AB162</f>
        <v>-428.22512314950006</v>
      </c>
      <c r="AD23" s="22">
        <f t="shared" si="10"/>
        <v>-444.69203989848353</v>
      </c>
      <c r="AE23" s="22">
        <f t="shared" si="10"/>
        <v>-460.32367322528512</v>
      </c>
      <c r="AF23" s="22">
        <f t="shared" si="10"/>
        <v>-475.17598711919101</v>
      </c>
      <c r="AG23" s="22">
        <f t="shared" si="10"/>
        <v>-489.0331959822052</v>
      </c>
      <c r="AH23" s="22">
        <f t="shared" si="10"/>
        <v>-501.96197185139749</v>
      </c>
    </row>
    <row r="24" spans="2:48">
      <c r="B24" s="87" t="s">
        <v>2</v>
      </c>
      <c r="C24" s="22">
        <v>-228</v>
      </c>
      <c r="D24" s="22">
        <v>-241</v>
      </c>
      <c r="E24" s="22">
        <v>-246</v>
      </c>
      <c r="F24" s="22">
        <v>-241</v>
      </c>
      <c r="G24" s="22">
        <v>-242</v>
      </c>
      <c r="H24" s="22">
        <v>-254</v>
      </c>
      <c r="I24" s="22">
        <v>-240</v>
      </c>
      <c r="J24" s="22">
        <v>-273</v>
      </c>
      <c r="K24" s="22">
        <v>-302</v>
      </c>
      <c r="L24" s="22">
        <v>-320</v>
      </c>
      <c r="M24" s="59">
        <v>-327</v>
      </c>
      <c r="N24" s="22">
        <v>-81</v>
      </c>
      <c r="O24" s="22">
        <v>-88</v>
      </c>
      <c r="P24" s="22">
        <v>-87</v>
      </c>
      <c r="Q24" s="59">
        <f>R24-P24-O24-N24</f>
        <v>-90</v>
      </c>
      <c r="R24" s="59">
        <v>-346</v>
      </c>
      <c r="S24" s="22">
        <v>-94</v>
      </c>
      <c r="T24" s="22">
        <v>-94</v>
      </c>
      <c r="U24" s="22"/>
      <c r="V24" s="22"/>
      <c r="W24" s="22"/>
      <c r="X24" s="22">
        <f>T24</f>
        <v>-94</v>
      </c>
      <c r="Y24" s="22">
        <f>-Y197*T153</f>
        <v>-95.025000000000006</v>
      </c>
      <c r="Z24" s="59">
        <f>-Z197*Y153</f>
        <v>-96.890500000000003</v>
      </c>
      <c r="AA24" s="22">
        <f>SUM(X24:Z24)+S24</f>
        <v>-379.91550000000001</v>
      </c>
      <c r="AB24" s="22">
        <f>-AB202*AA156</f>
        <v>-397.52338000000003</v>
      </c>
      <c r="AC24" s="22">
        <f t="shared" ref="AC24:AH24" si="11">-AC202*AB156</f>
        <v>-416.26244480000003</v>
      </c>
      <c r="AD24" s="22">
        <f t="shared" si="11"/>
        <v>-433.53194700799997</v>
      </c>
      <c r="AE24" s="22">
        <f t="shared" si="11"/>
        <v>-449.75066912768</v>
      </c>
      <c r="AF24" s="22">
        <f t="shared" si="11"/>
        <v>-465.04064236257284</v>
      </c>
      <c r="AG24" s="22">
        <f t="shared" si="11"/>
        <v>-479.71901666806991</v>
      </c>
      <c r="AH24" s="22">
        <f t="shared" si="11"/>
        <v>-493.81025600134711</v>
      </c>
    </row>
    <row r="25" spans="2:48">
      <c r="B25" s="87" t="s">
        <v>3</v>
      </c>
      <c r="C25" s="98">
        <v>-3</v>
      </c>
      <c r="D25" s="98">
        <v>-5</v>
      </c>
      <c r="E25" s="98">
        <v>-5</v>
      </c>
      <c r="F25" s="98">
        <v>-5</v>
      </c>
      <c r="G25" s="98">
        <v>-6</v>
      </c>
      <c r="H25" s="98">
        <v>-7</v>
      </c>
      <c r="I25" s="98">
        <v>-10</v>
      </c>
      <c r="J25" s="98">
        <v>-10</v>
      </c>
      <c r="K25" s="98">
        <v>-10</v>
      </c>
      <c r="L25" s="98">
        <v>-10</v>
      </c>
      <c r="M25" s="99">
        <v>-9</v>
      </c>
      <c r="N25" s="98">
        <v>-2</v>
      </c>
      <c r="O25" s="98">
        <v>-2</v>
      </c>
      <c r="P25" s="98">
        <v>-2</v>
      </c>
      <c r="Q25" s="99">
        <f>R25-P25-O25-N25</f>
        <v>-3</v>
      </c>
      <c r="R25" s="99">
        <v>-9</v>
      </c>
      <c r="S25" s="98">
        <v>-1</v>
      </c>
      <c r="T25" s="98">
        <v>-2</v>
      </c>
      <c r="U25" s="98"/>
      <c r="V25" s="98"/>
      <c r="W25" s="98"/>
      <c r="X25" s="98">
        <f>T25</f>
        <v>-2</v>
      </c>
      <c r="Y25" s="103">
        <f>-10/4</f>
        <v>-2.5</v>
      </c>
      <c r="Z25" s="104">
        <f>-10/4</f>
        <v>-2.5</v>
      </c>
      <c r="AA25" s="98">
        <f>SUM(X25:Z25)+S25</f>
        <v>-8</v>
      </c>
      <c r="AB25" s="103">
        <v>-10</v>
      </c>
      <c r="AC25" s="103">
        <v>-10</v>
      </c>
      <c r="AD25" s="103">
        <v>-10</v>
      </c>
      <c r="AE25" s="103">
        <v>-10</v>
      </c>
      <c r="AF25" s="103">
        <v>-10</v>
      </c>
      <c r="AG25" s="103">
        <v>-10</v>
      </c>
      <c r="AH25" s="103">
        <v>-10</v>
      </c>
    </row>
    <row r="26" spans="2:48">
      <c r="B26" s="90" t="s">
        <v>72</v>
      </c>
      <c r="C26" s="96">
        <f t="shared" ref="C26:K26" si="12">SUM(C23:C25)</f>
        <v>-454</v>
      </c>
      <c r="D26" s="96">
        <f t="shared" si="12"/>
        <v>-480</v>
      </c>
      <c r="E26" s="96">
        <f t="shared" si="12"/>
        <v>-487</v>
      </c>
      <c r="F26" s="96">
        <f t="shared" si="12"/>
        <v>-515</v>
      </c>
      <c r="G26" s="96">
        <f t="shared" si="12"/>
        <v>-521</v>
      </c>
      <c r="H26" s="96">
        <f t="shared" si="12"/>
        <v>-548</v>
      </c>
      <c r="I26" s="96">
        <f t="shared" si="12"/>
        <v>-537</v>
      </c>
      <c r="J26" s="96">
        <f t="shared" si="12"/>
        <v>-583</v>
      </c>
      <c r="K26" s="96">
        <f t="shared" si="12"/>
        <v>-616</v>
      </c>
      <c r="L26" s="96">
        <f t="shared" ref="L26:Z26" si="13">SUM(L23:L25)</f>
        <v>-659</v>
      </c>
      <c r="M26" s="94">
        <f t="shared" si="13"/>
        <v>-676</v>
      </c>
      <c r="N26" s="96">
        <f t="shared" ref="N26:S26" si="14">SUM(N23:N25)</f>
        <v>-167</v>
      </c>
      <c r="O26" s="96">
        <f t="shared" si="14"/>
        <v>-181</v>
      </c>
      <c r="P26" s="96">
        <f t="shared" si="14"/>
        <v>-184</v>
      </c>
      <c r="Q26" s="94">
        <f t="shared" si="14"/>
        <v>-190</v>
      </c>
      <c r="R26" s="94">
        <f t="shared" si="14"/>
        <v>-722</v>
      </c>
      <c r="S26" s="96">
        <f t="shared" si="14"/>
        <v>-187</v>
      </c>
      <c r="T26" s="96">
        <f t="shared" si="13"/>
        <v>-190</v>
      </c>
      <c r="U26" s="96">
        <f>SUM(U23:U25)</f>
        <v>9</v>
      </c>
      <c r="V26" s="96"/>
      <c r="W26" s="96"/>
      <c r="X26" s="96">
        <f>SUM(X23:X25)</f>
        <v>-185.5</v>
      </c>
      <c r="Y26" s="96">
        <f>SUM(Y23:Y25)</f>
        <v>-190.66000000000003</v>
      </c>
      <c r="Z26" s="94">
        <f t="shared" si="13"/>
        <v>-193.90100000000001</v>
      </c>
      <c r="AA26" s="96">
        <f>SUM(AA23:AA25)</f>
        <v>-757.06099999999992</v>
      </c>
      <c r="AB26" s="96">
        <f>SUM(AB23:AB25)</f>
        <v>-818.45813150000004</v>
      </c>
      <c r="AC26" s="96">
        <f t="shared" ref="AC26:AH26" si="15">SUM(AC23:AC25)</f>
        <v>-854.48756794950009</v>
      </c>
      <c r="AD26" s="96">
        <f t="shared" si="15"/>
        <v>-888.22398690648356</v>
      </c>
      <c r="AE26" s="96">
        <f t="shared" si="15"/>
        <v>-920.07434235296512</v>
      </c>
      <c r="AF26" s="96">
        <f t="shared" si="15"/>
        <v>-950.2166294817639</v>
      </c>
      <c r="AG26" s="96">
        <f t="shared" si="15"/>
        <v>-978.75221265027517</v>
      </c>
      <c r="AH26" s="96">
        <f t="shared" si="15"/>
        <v>-1005.7722278527447</v>
      </c>
    </row>
    <row r="27" spans="2:48"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59"/>
      <c r="N27" s="22"/>
      <c r="O27" s="22"/>
      <c r="P27" s="22"/>
      <c r="Q27" s="59"/>
      <c r="R27" s="59"/>
      <c r="S27" s="22"/>
      <c r="T27" s="22"/>
      <c r="U27" s="22"/>
      <c r="V27" s="22"/>
      <c r="W27" s="22"/>
      <c r="X27" s="22"/>
      <c r="Y27" s="22"/>
      <c r="Z27" s="59"/>
      <c r="AA27" s="22"/>
      <c r="AB27" s="22"/>
      <c r="AC27" s="22"/>
      <c r="AD27" s="22"/>
      <c r="AE27" s="22"/>
      <c r="AF27" s="22"/>
      <c r="AG27" s="22"/>
      <c r="AH27" s="22"/>
    </row>
    <row r="28" spans="2:48">
      <c r="B28" s="87" t="s">
        <v>1</v>
      </c>
      <c r="C28" s="22">
        <f t="shared" ref="C28:L28" si="16">C8+C13+C18</f>
        <v>475</v>
      </c>
      <c r="D28" s="22">
        <f>D8+D13+D18</f>
        <v>495</v>
      </c>
      <c r="E28" s="22">
        <f t="shared" si="16"/>
        <v>541</v>
      </c>
      <c r="F28" s="22">
        <f t="shared" si="16"/>
        <v>592</v>
      </c>
      <c r="G28" s="22">
        <f>G8+G13+G18</f>
        <v>593</v>
      </c>
      <c r="H28" s="22">
        <f t="shared" si="16"/>
        <v>622</v>
      </c>
      <c r="I28" s="22">
        <f t="shared" si="16"/>
        <v>644</v>
      </c>
      <c r="J28" s="22">
        <f t="shared" si="16"/>
        <v>678</v>
      </c>
      <c r="K28" s="22">
        <f t="shared" si="16"/>
        <v>782</v>
      </c>
      <c r="L28" s="22">
        <f t="shared" si="16"/>
        <v>802</v>
      </c>
      <c r="M28" s="59">
        <f t="shared" ref="M28:R30" si="17">M8+M13+M18</f>
        <v>792</v>
      </c>
      <c r="N28" s="22">
        <f t="shared" si="17"/>
        <v>224</v>
      </c>
      <c r="O28" s="22">
        <f t="shared" si="17"/>
        <v>132</v>
      </c>
      <c r="P28" s="22">
        <f t="shared" si="17"/>
        <v>159</v>
      </c>
      <c r="Q28" s="59">
        <f t="shared" si="17"/>
        <v>227</v>
      </c>
      <c r="R28" s="59">
        <f t="shared" si="17"/>
        <v>742</v>
      </c>
      <c r="S28" s="22">
        <f t="shared" ref="S28:S30" si="18">S8+S13+S18</f>
        <v>253</v>
      </c>
      <c r="T28" s="22">
        <f>T8+T13+T18</f>
        <v>179</v>
      </c>
      <c r="U28" s="22">
        <f>U8+U13+U18</f>
        <v>-22</v>
      </c>
      <c r="V28" s="22"/>
      <c r="W28" s="22"/>
      <c r="X28" s="22">
        <f t="shared" ref="X28:Y30" si="19">X8+X13+X18</f>
        <v>168</v>
      </c>
      <c r="Y28" s="22">
        <f t="shared" si="19"/>
        <v>199.96199999999996</v>
      </c>
      <c r="Z28" s="59">
        <f t="shared" ref="Z28" si="20">Z8+Z13+Z18</f>
        <v>209.96010000000004</v>
      </c>
      <c r="AA28" s="22">
        <f>SUM(X28:Z28)+S28</f>
        <v>830.9221</v>
      </c>
      <c r="AB28" s="22">
        <f t="shared" ref="AB28:AH28" si="21">AB8+AB13+AB18</f>
        <v>897.15311549999967</v>
      </c>
      <c r="AC28" s="22">
        <f t="shared" si="21"/>
        <v>946.49653685249973</v>
      </c>
      <c r="AD28" s="22">
        <f t="shared" si="21"/>
        <v>998.5538463793871</v>
      </c>
      <c r="AE28" s="22">
        <f t="shared" si="21"/>
        <v>1053.4743079302534</v>
      </c>
      <c r="AF28" s="22">
        <f t="shared" si="21"/>
        <v>1111.415394866417</v>
      </c>
      <c r="AG28" s="22">
        <f t="shared" si="21"/>
        <v>1172.5432415840701</v>
      </c>
      <c r="AH28" s="22">
        <f t="shared" si="21"/>
        <v>1237.0331198711935</v>
      </c>
    </row>
    <row r="29" spans="2:48">
      <c r="B29" s="87" t="s">
        <v>2</v>
      </c>
      <c r="C29" s="22">
        <f t="shared" ref="C29:L29" si="22">C9+C14+C19</f>
        <v>916</v>
      </c>
      <c r="D29" s="22">
        <f t="shared" si="22"/>
        <v>906</v>
      </c>
      <c r="E29" s="22">
        <f t="shared" si="22"/>
        <v>957</v>
      </c>
      <c r="F29" s="22">
        <f t="shared" si="22"/>
        <v>855</v>
      </c>
      <c r="G29" s="22">
        <f t="shared" si="22"/>
        <v>827</v>
      </c>
      <c r="H29" s="22">
        <f t="shared" si="22"/>
        <v>825</v>
      </c>
      <c r="I29" s="22">
        <f t="shared" si="22"/>
        <v>709</v>
      </c>
      <c r="J29" s="22">
        <f t="shared" si="22"/>
        <v>891</v>
      </c>
      <c r="K29" s="22">
        <f t="shared" si="22"/>
        <v>967</v>
      </c>
      <c r="L29" s="22">
        <f t="shared" si="22"/>
        <v>1080</v>
      </c>
      <c r="M29" s="59">
        <f t="shared" si="17"/>
        <v>1154</v>
      </c>
      <c r="N29" s="22">
        <f t="shared" si="17"/>
        <v>307</v>
      </c>
      <c r="O29" s="22">
        <f t="shared" si="17"/>
        <v>277</v>
      </c>
      <c r="P29" s="22">
        <f t="shared" si="17"/>
        <v>314</v>
      </c>
      <c r="Q29" s="59">
        <f t="shared" si="17"/>
        <v>296</v>
      </c>
      <c r="R29" s="59">
        <f t="shared" si="17"/>
        <v>1194</v>
      </c>
      <c r="S29" s="22">
        <f t="shared" si="18"/>
        <v>307</v>
      </c>
      <c r="T29" s="22">
        <f>T9+T14+T19</f>
        <v>266</v>
      </c>
      <c r="U29" s="22"/>
      <c r="V29" s="22"/>
      <c r="W29" s="22"/>
      <c r="X29" s="22">
        <f t="shared" si="19"/>
        <v>266</v>
      </c>
      <c r="Y29" s="22">
        <f t="shared" si="19"/>
        <v>274.36499999999995</v>
      </c>
      <c r="Z29" s="59">
        <f t="shared" ref="Z29" si="23">Z9+Z14+Z19</f>
        <v>275.73682499999995</v>
      </c>
      <c r="AA29" s="22">
        <f>SUM(X29:Z29)+S29</f>
        <v>1123.101825</v>
      </c>
      <c r="AB29" s="22">
        <f t="shared" ref="AB29:AH29" si="24">AB9+AB14+AB19</f>
        <v>1161.4298797499998</v>
      </c>
      <c r="AC29" s="22">
        <f t="shared" si="24"/>
        <v>1184.6584773449999</v>
      </c>
      <c r="AD29" s="22">
        <f t="shared" si="24"/>
        <v>1208.3516468918999</v>
      </c>
      <c r="AE29" s="22">
        <f t="shared" si="24"/>
        <v>1232.5186798297377</v>
      </c>
      <c r="AF29" s="22">
        <f t="shared" si="24"/>
        <v>1257.1690534263325</v>
      </c>
      <c r="AG29" s="22">
        <f t="shared" si="24"/>
        <v>1282.3124344948594</v>
      </c>
      <c r="AH29" s="22">
        <f t="shared" si="24"/>
        <v>1307.9586831847564</v>
      </c>
    </row>
    <row r="30" spans="2:48">
      <c r="B30" s="87" t="s">
        <v>3</v>
      </c>
      <c r="C30" s="24">
        <f t="shared" ref="C30:L30" si="25">C10+C15+C20</f>
        <v>0</v>
      </c>
      <c r="D30" s="24">
        <f t="shared" si="25"/>
        <v>85</v>
      </c>
      <c r="E30" s="24">
        <f t="shared" si="25"/>
        <v>-5</v>
      </c>
      <c r="F30" s="24">
        <f t="shared" si="25"/>
        <v>-3</v>
      </c>
      <c r="G30" s="24">
        <f t="shared" si="25"/>
        <v>0</v>
      </c>
      <c r="H30" s="24">
        <f t="shared" si="25"/>
        <v>4</v>
      </c>
      <c r="I30" s="24">
        <f t="shared" si="25"/>
        <v>8</v>
      </c>
      <c r="J30" s="24">
        <f t="shared" si="25"/>
        <v>3</v>
      </c>
      <c r="K30" s="24">
        <f t="shared" si="25"/>
        <v>2</v>
      </c>
      <c r="L30" s="24">
        <f t="shared" si="25"/>
        <v>1</v>
      </c>
      <c r="M30" s="60">
        <f t="shared" si="17"/>
        <v>2</v>
      </c>
      <c r="N30" s="24">
        <f t="shared" si="17"/>
        <v>0</v>
      </c>
      <c r="O30" s="24">
        <f t="shared" si="17"/>
        <v>-1</v>
      </c>
      <c r="P30" s="24">
        <f t="shared" si="17"/>
        <v>3</v>
      </c>
      <c r="Q30" s="60">
        <f t="shared" si="17"/>
        <v>-1</v>
      </c>
      <c r="R30" s="60">
        <f t="shared" si="17"/>
        <v>1</v>
      </c>
      <c r="S30" s="24">
        <f t="shared" si="18"/>
        <v>0</v>
      </c>
      <c r="T30" s="24">
        <f>T10+T15+T20</f>
        <v>-2</v>
      </c>
      <c r="U30" s="24"/>
      <c r="V30" s="24"/>
      <c r="W30" s="24"/>
      <c r="X30" s="24">
        <f t="shared" si="19"/>
        <v>-2</v>
      </c>
      <c r="Y30" s="24">
        <f t="shared" si="19"/>
        <v>0</v>
      </c>
      <c r="Z30" s="60">
        <f t="shared" ref="Z30" si="26">Z10+Z15+Z20</f>
        <v>0</v>
      </c>
      <c r="AA30" s="24">
        <f>SUM(X30:Z30)+S30</f>
        <v>-2</v>
      </c>
      <c r="AB30" s="24">
        <f t="shared" ref="AB30:AH30" si="27">AB10+AB15+AB20</f>
        <v>0</v>
      </c>
      <c r="AC30" s="24">
        <f t="shared" si="27"/>
        <v>0</v>
      </c>
      <c r="AD30" s="24">
        <f t="shared" si="27"/>
        <v>0</v>
      </c>
      <c r="AE30" s="24">
        <f t="shared" si="27"/>
        <v>0</v>
      </c>
      <c r="AF30" s="24">
        <f t="shared" si="27"/>
        <v>0</v>
      </c>
      <c r="AG30" s="24">
        <f t="shared" si="27"/>
        <v>0</v>
      </c>
      <c r="AH30" s="24">
        <f t="shared" si="27"/>
        <v>0</v>
      </c>
    </row>
    <row r="31" spans="2:48">
      <c r="B31" s="90" t="s">
        <v>6</v>
      </c>
      <c r="C31" s="96">
        <f t="shared" ref="C31:L31" si="28">SUM(C28:C30)</f>
        <v>1391</v>
      </c>
      <c r="D31" s="96">
        <f t="shared" si="28"/>
        <v>1486</v>
      </c>
      <c r="E31" s="96">
        <f t="shared" si="28"/>
        <v>1493</v>
      </c>
      <c r="F31" s="96">
        <f t="shared" si="28"/>
        <v>1444</v>
      </c>
      <c r="G31" s="96">
        <f t="shared" si="28"/>
        <v>1420</v>
      </c>
      <c r="H31" s="96">
        <f t="shared" si="28"/>
        <v>1451</v>
      </c>
      <c r="I31" s="96">
        <f t="shared" si="28"/>
        <v>1361</v>
      </c>
      <c r="J31" s="96">
        <f t="shared" si="28"/>
        <v>1572</v>
      </c>
      <c r="K31" s="96">
        <f t="shared" si="28"/>
        <v>1751</v>
      </c>
      <c r="L31" s="96">
        <f t="shared" si="28"/>
        <v>1883</v>
      </c>
      <c r="M31" s="94">
        <f t="shared" ref="M31:AH31" si="29">SUM(M28:M30)</f>
        <v>1948</v>
      </c>
      <c r="N31" s="96">
        <f t="shared" si="29"/>
        <v>531</v>
      </c>
      <c r="O31" s="96">
        <f t="shared" si="29"/>
        <v>408</v>
      </c>
      <c r="P31" s="96">
        <f t="shared" si="29"/>
        <v>476</v>
      </c>
      <c r="Q31" s="94">
        <f t="shared" si="29"/>
        <v>522</v>
      </c>
      <c r="R31" s="94">
        <f t="shared" si="29"/>
        <v>1937</v>
      </c>
      <c r="S31" s="96">
        <f t="shared" si="29"/>
        <v>560</v>
      </c>
      <c r="T31" s="96">
        <f>SUM(T28:T30)</f>
        <v>443</v>
      </c>
      <c r="U31" s="96">
        <f>SUM(U28:U30)</f>
        <v>-22</v>
      </c>
      <c r="V31" s="96"/>
      <c r="W31" s="96"/>
      <c r="X31" s="96">
        <f>SUM(X28:X30)</f>
        <v>432</v>
      </c>
      <c r="Y31" s="96">
        <f>SUM(Y28:Y30)</f>
        <v>474.32699999999988</v>
      </c>
      <c r="Z31" s="94">
        <f t="shared" si="29"/>
        <v>485.69692499999996</v>
      </c>
      <c r="AA31" s="96">
        <f>SUM(AA28:AA30)</f>
        <v>1952.023925</v>
      </c>
      <c r="AB31" s="96">
        <f t="shared" si="29"/>
        <v>2058.5829952499994</v>
      </c>
      <c r="AC31" s="96">
        <f t="shared" si="29"/>
        <v>2131.1550141974994</v>
      </c>
      <c r="AD31" s="96">
        <f t="shared" si="29"/>
        <v>2206.905493271287</v>
      </c>
      <c r="AE31" s="96">
        <f t="shared" si="29"/>
        <v>2285.9929877599911</v>
      </c>
      <c r="AF31" s="96">
        <f t="shared" si="29"/>
        <v>2368.5844482927496</v>
      </c>
      <c r="AG31" s="96">
        <f t="shared" si="29"/>
        <v>2454.8556760789297</v>
      </c>
      <c r="AH31" s="96">
        <f t="shared" si="29"/>
        <v>2544.9918030559502</v>
      </c>
    </row>
    <row r="32" spans="2:48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94"/>
      <c r="N32" s="17"/>
      <c r="O32" s="17"/>
      <c r="P32" s="17"/>
      <c r="Q32" s="94"/>
      <c r="R32" s="94"/>
      <c r="S32" s="96"/>
      <c r="T32" s="17"/>
      <c r="U32" s="17"/>
      <c r="V32" s="17"/>
      <c r="W32" s="17"/>
      <c r="X32" s="17"/>
      <c r="Y32" s="96"/>
      <c r="Z32" s="94"/>
      <c r="AA32" s="96"/>
      <c r="AB32" s="96"/>
      <c r="AC32" s="96"/>
      <c r="AD32" s="96"/>
      <c r="AE32" s="96"/>
      <c r="AF32" s="96"/>
      <c r="AG32" s="96"/>
      <c r="AH32" s="96"/>
    </row>
    <row r="33" spans="1:36">
      <c r="B33" s="87" t="s">
        <v>1</v>
      </c>
      <c r="C33" s="5">
        <f>C28+C23</f>
        <v>252</v>
      </c>
      <c r="D33" s="5">
        <f>D28+D23</f>
        <v>261</v>
      </c>
      <c r="E33" s="5">
        <f t="shared" ref="E33:L33" si="30">E28+E23</f>
        <v>305</v>
      </c>
      <c r="F33" s="5">
        <f t="shared" si="30"/>
        <v>323</v>
      </c>
      <c r="G33" s="5">
        <f>G28+G23</f>
        <v>320</v>
      </c>
      <c r="H33" s="5">
        <f t="shared" si="30"/>
        <v>335</v>
      </c>
      <c r="I33" s="5">
        <f t="shared" si="30"/>
        <v>357</v>
      </c>
      <c r="J33" s="5">
        <f t="shared" si="30"/>
        <v>378</v>
      </c>
      <c r="K33" s="5">
        <f t="shared" si="30"/>
        <v>478</v>
      </c>
      <c r="L33" s="5">
        <f t="shared" si="30"/>
        <v>473</v>
      </c>
      <c r="M33" s="59">
        <f t="shared" ref="M33:S35" si="31">M28+M23</f>
        <v>452</v>
      </c>
      <c r="N33" s="5">
        <f t="shared" si="31"/>
        <v>140</v>
      </c>
      <c r="O33" s="5">
        <f t="shared" si="31"/>
        <v>41</v>
      </c>
      <c r="P33" s="5">
        <f t="shared" si="31"/>
        <v>64</v>
      </c>
      <c r="Q33" s="59">
        <f t="shared" si="31"/>
        <v>130</v>
      </c>
      <c r="R33" s="59">
        <f t="shared" si="31"/>
        <v>375</v>
      </c>
      <c r="S33" s="22">
        <f t="shared" si="31"/>
        <v>161</v>
      </c>
      <c r="T33" s="5">
        <f>T28+T23</f>
        <v>85</v>
      </c>
      <c r="U33" s="5">
        <f>U28+U23</f>
        <v>-13</v>
      </c>
      <c r="X33" s="5">
        <f>X28+X23</f>
        <v>78.5</v>
      </c>
      <c r="Y33" s="22">
        <f>Y28+Y23</f>
        <v>106.82699999999996</v>
      </c>
      <c r="Z33" s="59">
        <f>Z28+Z23</f>
        <v>115.44960000000003</v>
      </c>
      <c r="AA33" s="22">
        <f>SUM(X33:Z33)+S33</f>
        <v>461.77659999999997</v>
      </c>
      <c r="AB33" s="22">
        <f t="shared" ref="AB33:AH33" si="32">AB28+AB23</f>
        <v>486.21836399999967</v>
      </c>
      <c r="AC33" s="22">
        <f t="shared" si="32"/>
        <v>518.27141370299967</v>
      </c>
      <c r="AD33" s="22">
        <f t="shared" si="32"/>
        <v>553.86180648090362</v>
      </c>
      <c r="AE33" s="22">
        <f t="shared" si="32"/>
        <v>593.1506347049683</v>
      </c>
      <c r="AF33" s="22">
        <f t="shared" si="32"/>
        <v>636.2394077472261</v>
      </c>
      <c r="AG33" s="22">
        <f t="shared" si="32"/>
        <v>683.51004560186493</v>
      </c>
      <c r="AH33" s="22">
        <f t="shared" si="32"/>
        <v>735.07114801979606</v>
      </c>
    </row>
    <row r="34" spans="1:36">
      <c r="B34" s="87" t="s">
        <v>2</v>
      </c>
      <c r="C34" s="22">
        <f t="shared" ref="C34:L34" si="33">C29+C24</f>
        <v>688</v>
      </c>
      <c r="D34" s="22">
        <f>D29+D24</f>
        <v>665</v>
      </c>
      <c r="E34" s="22">
        <f t="shared" si="33"/>
        <v>711</v>
      </c>
      <c r="F34" s="22">
        <f t="shared" si="33"/>
        <v>614</v>
      </c>
      <c r="G34" s="22">
        <f t="shared" si="33"/>
        <v>585</v>
      </c>
      <c r="H34" s="22">
        <f t="shared" si="33"/>
        <v>571</v>
      </c>
      <c r="I34" s="22">
        <f t="shared" si="33"/>
        <v>469</v>
      </c>
      <c r="J34" s="22">
        <f t="shared" si="33"/>
        <v>618</v>
      </c>
      <c r="K34" s="22">
        <f t="shared" si="33"/>
        <v>665</v>
      </c>
      <c r="L34" s="22">
        <f t="shared" si="33"/>
        <v>760</v>
      </c>
      <c r="M34" s="59">
        <f t="shared" si="31"/>
        <v>827</v>
      </c>
      <c r="N34" s="22">
        <f t="shared" si="31"/>
        <v>226</v>
      </c>
      <c r="O34" s="22">
        <f t="shared" si="31"/>
        <v>189</v>
      </c>
      <c r="P34" s="22">
        <f t="shared" si="31"/>
        <v>227</v>
      </c>
      <c r="Q34" s="59">
        <f t="shared" si="31"/>
        <v>206</v>
      </c>
      <c r="R34" s="59">
        <f t="shared" si="31"/>
        <v>848</v>
      </c>
      <c r="S34" s="22">
        <f t="shared" si="31"/>
        <v>213</v>
      </c>
      <c r="T34" s="22">
        <f>T29+T24</f>
        <v>172</v>
      </c>
      <c r="U34" s="22"/>
      <c r="V34" s="22"/>
      <c r="W34" s="22"/>
      <c r="X34" s="22">
        <f>X29+X24</f>
        <v>172</v>
      </c>
      <c r="Y34" s="22">
        <f t="shared" ref="Y34" si="34">Y29+Y24</f>
        <v>179.33999999999995</v>
      </c>
      <c r="Z34" s="59">
        <f>Z29+Z24</f>
        <v>178.84632499999995</v>
      </c>
      <c r="AA34" s="22">
        <f>SUM(X34:Z34)+S34</f>
        <v>743.1863249999999</v>
      </c>
      <c r="AB34" s="22">
        <f t="shared" ref="AB34:AH34" si="35">AB29+AB24</f>
        <v>763.90649974999974</v>
      </c>
      <c r="AC34" s="22">
        <f t="shared" si="35"/>
        <v>768.39603254499991</v>
      </c>
      <c r="AD34" s="22">
        <f t="shared" si="35"/>
        <v>774.81969988389994</v>
      </c>
      <c r="AE34" s="22">
        <f t="shared" si="35"/>
        <v>782.76801070205772</v>
      </c>
      <c r="AF34" s="22">
        <f t="shared" si="35"/>
        <v>792.1284110637597</v>
      </c>
      <c r="AG34" s="22">
        <f t="shared" si="35"/>
        <v>802.5934178267895</v>
      </c>
      <c r="AH34" s="22">
        <f t="shared" si="35"/>
        <v>814.14842718340924</v>
      </c>
    </row>
    <row r="35" spans="1:36">
      <c r="B35" s="87" t="s">
        <v>3</v>
      </c>
      <c r="C35" s="24">
        <f t="shared" ref="C35:L35" si="36">C30+C25</f>
        <v>-3</v>
      </c>
      <c r="D35" s="24">
        <f>D30+D25</f>
        <v>80</v>
      </c>
      <c r="E35" s="24">
        <f t="shared" si="36"/>
        <v>-10</v>
      </c>
      <c r="F35" s="24">
        <f t="shared" si="36"/>
        <v>-8</v>
      </c>
      <c r="G35" s="24">
        <f t="shared" si="36"/>
        <v>-6</v>
      </c>
      <c r="H35" s="24">
        <v>-3</v>
      </c>
      <c r="I35" s="24">
        <f t="shared" si="36"/>
        <v>-2</v>
      </c>
      <c r="J35" s="24">
        <f t="shared" si="36"/>
        <v>-7</v>
      </c>
      <c r="K35" s="24">
        <f t="shared" si="36"/>
        <v>-8</v>
      </c>
      <c r="L35" s="24">
        <f t="shared" si="36"/>
        <v>-9</v>
      </c>
      <c r="M35" s="60">
        <f t="shared" si="31"/>
        <v>-7</v>
      </c>
      <c r="N35" s="24">
        <f t="shared" si="31"/>
        <v>-2</v>
      </c>
      <c r="O35" s="24">
        <f t="shared" si="31"/>
        <v>-3</v>
      </c>
      <c r="P35" s="24">
        <f t="shared" si="31"/>
        <v>1</v>
      </c>
      <c r="Q35" s="60">
        <f t="shared" si="31"/>
        <v>-4</v>
      </c>
      <c r="R35" s="60">
        <f t="shared" si="31"/>
        <v>-8</v>
      </c>
      <c r="S35" s="24">
        <f t="shared" si="31"/>
        <v>-1</v>
      </c>
      <c r="T35" s="24">
        <f>T30+T25</f>
        <v>-4</v>
      </c>
      <c r="U35" s="24"/>
      <c r="V35" s="24"/>
      <c r="W35" s="24"/>
      <c r="X35" s="24">
        <f>X30+X25</f>
        <v>-4</v>
      </c>
      <c r="Y35" s="24">
        <f t="shared" ref="Y35" si="37">Y30+Y25</f>
        <v>-2.5</v>
      </c>
      <c r="Z35" s="60">
        <f>Z30+Z25</f>
        <v>-2.5</v>
      </c>
      <c r="AA35" s="24">
        <f>SUM(X35:Z35)+S35</f>
        <v>-10</v>
      </c>
      <c r="AB35" s="24">
        <f t="shared" ref="AB35:AH35" si="38">AB30+AB25</f>
        <v>-10</v>
      </c>
      <c r="AC35" s="24">
        <f t="shared" si="38"/>
        <v>-10</v>
      </c>
      <c r="AD35" s="24">
        <f t="shared" si="38"/>
        <v>-10</v>
      </c>
      <c r="AE35" s="24">
        <f t="shared" si="38"/>
        <v>-10</v>
      </c>
      <c r="AF35" s="24">
        <f t="shared" si="38"/>
        <v>-10</v>
      </c>
      <c r="AG35" s="24">
        <f t="shared" si="38"/>
        <v>-10</v>
      </c>
      <c r="AH35" s="24">
        <f t="shared" si="38"/>
        <v>-10</v>
      </c>
    </row>
    <row r="36" spans="1:36">
      <c r="B36" s="90" t="s">
        <v>7</v>
      </c>
      <c r="C36" s="17">
        <f t="shared" ref="C36:L36" si="39">SUM(C33:C35)</f>
        <v>937</v>
      </c>
      <c r="D36" s="17">
        <f t="shared" si="39"/>
        <v>1006</v>
      </c>
      <c r="E36" s="17">
        <f t="shared" si="39"/>
        <v>1006</v>
      </c>
      <c r="F36" s="17">
        <f t="shared" si="39"/>
        <v>929</v>
      </c>
      <c r="G36" s="17">
        <f t="shared" si="39"/>
        <v>899</v>
      </c>
      <c r="H36" s="17">
        <f t="shared" si="39"/>
        <v>903</v>
      </c>
      <c r="I36" s="17">
        <f t="shared" si="39"/>
        <v>824</v>
      </c>
      <c r="J36" s="17">
        <f t="shared" si="39"/>
        <v>989</v>
      </c>
      <c r="K36" s="17">
        <f t="shared" si="39"/>
        <v>1135</v>
      </c>
      <c r="L36" s="17">
        <f t="shared" si="39"/>
        <v>1224</v>
      </c>
      <c r="M36" s="94">
        <f t="shared" ref="M36:AH36" si="40">SUM(M33:M35)</f>
        <v>1272</v>
      </c>
      <c r="N36" s="17">
        <f t="shared" si="40"/>
        <v>364</v>
      </c>
      <c r="O36" s="17">
        <f t="shared" si="40"/>
        <v>227</v>
      </c>
      <c r="P36" s="17">
        <f t="shared" si="40"/>
        <v>292</v>
      </c>
      <c r="Q36" s="94">
        <f t="shared" si="40"/>
        <v>332</v>
      </c>
      <c r="R36" s="94">
        <f t="shared" si="40"/>
        <v>1215</v>
      </c>
      <c r="S36" s="96">
        <f t="shared" si="40"/>
        <v>373</v>
      </c>
      <c r="T36" s="17">
        <f>SUM(T33:T35)</f>
        <v>253</v>
      </c>
      <c r="U36" s="17">
        <f>SUM(U33:U35)</f>
        <v>-13</v>
      </c>
      <c r="V36" s="17"/>
      <c r="W36" s="17"/>
      <c r="X36" s="17">
        <f>SUM(X33:X35)</f>
        <v>246.5</v>
      </c>
      <c r="Y36" s="96">
        <f t="shared" si="40"/>
        <v>283.66699999999992</v>
      </c>
      <c r="Z36" s="94">
        <f>SUM(Z33:Z35)</f>
        <v>291.79592500000001</v>
      </c>
      <c r="AA36" s="96">
        <f>SUM(AA33:AA35)</f>
        <v>1194.9629249999998</v>
      </c>
      <c r="AB36" s="96">
        <f t="shared" si="40"/>
        <v>1240.1248637499993</v>
      </c>
      <c r="AC36" s="96">
        <f t="shared" si="40"/>
        <v>1276.6674462479996</v>
      </c>
      <c r="AD36" s="96">
        <f t="shared" si="40"/>
        <v>1318.6815063648037</v>
      </c>
      <c r="AE36" s="96">
        <f t="shared" si="40"/>
        <v>1365.9186454070259</v>
      </c>
      <c r="AF36" s="96">
        <f t="shared" si="40"/>
        <v>1418.3678188109857</v>
      </c>
      <c r="AG36" s="96">
        <f t="shared" si="40"/>
        <v>1476.1034634286543</v>
      </c>
      <c r="AH36" s="96">
        <f t="shared" si="40"/>
        <v>1539.2195752032053</v>
      </c>
    </row>
    <row r="37" spans="1:36">
      <c r="B37" s="90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94"/>
      <c r="N37" s="17"/>
      <c r="O37" s="17"/>
      <c r="P37" s="17"/>
      <c r="Q37" s="94"/>
      <c r="R37" s="94"/>
      <c r="S37" s="96"/>
      <c r="T37" s="17"/>
      <c r="U37" s="17"/>
      <c r="V37" s="17"/>
      <c r="W37" s="17"/>
      <c r="X37" s="17"/>
      <c r="Y37" s="96"/>
      <c r="Z37" s="94"/>
      <c r="AA37" s="96"/>
      <c r="AB37" s="96"/>
      <c r="AC37" s="96"/>
      <c r="AD37" s="96"/>
      <c r="AE37" s="96"/>
      <c r="AF37" s="96"/>
      <c r="AG37" s="96"/>
      <c r="AH37" s="96"/>
    </row>
    <row r="38" spans="1:36">
      <c r="B38" s="87" t="s">
        <v>8</v>
      </c>
      <c r="C38" s="5">
        <v>-348</v>
      </c>
      <c r="D38" s="5">
        <v>-331</v>
      </c>
      <c r="E38" s="5">
        <v>-325</v>
      </c>
      <c r="F38" s="5">
        <v>-295</v>
      </c>
      <c r="G38" s="5">
        <v>-295</v>
      </c>
      <c r="H38" s="5">
        <v>-292</v>
      </c>
      <c r="I38" s="5">
        <v>-308</v>
      </c>
      <c r="J38" s="5">
        <v>-342</v>
      </c>
      <c r="K38" s="5">
        <v>-344</v>
      </c>
      <c r="L38" s="5">
        <v>-358</v>
      </c>
      <c r="M38" s="59">
        <v>-360</v>
      </c>
      <c r="N38" s="5">
        <v>-90</v>
      </c>
      <c r="O38" s="5">
        <v>-95</v>
      </c>
      <c r="P38" s="5">
        <v>-96</v>
      </c>
      <c r="Q38" s="59">
        <f>R38-P38-O38-N38</f>
        <v>-98</v>
      </c>
      <c r="R38" s="59">
        <v>-379</v>
      </c>
      <c r="S38" s="22">
        <v>-94</v>
      </c>
      <c r="T38" s="5">
        <v>-93</v>
      </c>
      <c r="U38" s="5">
        <v>6</v>
      </c>
      <c r="W38" s="5">
        <f>IF(Province!C7=1,-12,0)</f>
        <v>-12</v>
      </c>
      <c r="X38" s="5">
        <f>T38+((U38+W38)/2)</f>
        <v>-96</v>
      </c>
      <c r="Y38" s="22">
        <f>-Y127</f>
        <v>-99.085499999999996</v>
      </c>
      <c r="Z38" s="59">
        <f>-Z127</f>
        <v>-113.01601281250002</v>
      </c>
      <c r="AA38" s="22">
        <f>SUM(X38:Z38)+S38</f>
        <v>-402.1015128125</v>
      </c>
      <c r="AB38" s="22">
        <f t="shared" ref="AB38:AH38" si="41">-AB127</f>
        <v>-459.22849694765631</v>
      </c>
      <c r="AC38" s="22">
        <f t="shared" si="41"/>
        <v>-485.88895690962698</v>
      </c>
      <c r="AD38" s="22">
        <f t="shared" si="41"/>
        <v>-509.83749976854983</v>
      </c>
      <c r="AE38" s="22">
        <f t="shared" si="41"/>
        <v>-531.64694759259032</v>
      </c>
      <c r="AF38" s="22">
        <f t="shared" si="41"/>
        <v>-551.42083883106125</v>
      </c>
      <c r="AG38" s="22">
        <f t="shared" si="41"/>
        <v>-569.30531324555182</v>
      </c>
      <c r="AH38" s="22">
        <f t="shared" si="41"/>
        <v>-585.88022599438466</v>
      </c>
    </row>
    <row r="39" spans="1:36">
      <c r="M39" s="59"/>
      <c r="Q39" s="59"/>
      <c r="R39" s="59"/>
      <c r="S39" s="22"/>
      <c r="Y39" s="22"/>
      <c r="Z39" s="59"/>
      <c r="AA39" s="22"/>
      <c r="AB39" s="22"/>
      <c r="AC39" s="22"/>
      <c r="AD39" s="22"/>
      <c r="AE39" s="22"/>
      <c r="AF39" s="22"/>
      <c r="AG39" s="22"/>
      <c r="AH39" s="22"/>
    </row>
    <row r="40" spans="1:36">
      <c r="B40" s="90" t="s">
        <v>9</v>
      </c>
      <c r="C40" s="17">
        <f>C36+C38</f>
        <v>589</v>
      </c>
      <c r="D40" s="17">
        <f t="shared" ref="D40:K40" si="42">D36+D38</f>
        <v>675</v>
      </c>
      <c r="E40" s="17">
        <f t="shared" si="42"/>
        <v>681</v>
      </c>
      <c r="F40" s="17">
        <f t="shared" si="42"/>
        <v>634</v>
      </c>
      <c r="G40" s="17">
        <f>G36+G38</f>
        <v>604</v>
      </c>
      <c r="H40" s="17">
        <f t="shared" si="42"/>
        <v>611</v>
      </c>
      <c r="I40" s="17">
        <f t="shared" si="42"/>
        <v>516</v>
      </c>
      <c r="J40" s="17">
        <f t="shared" si="42"/>
        <v>647</v>
      </c>
      <c r="K40" s="17">
        <f t="shared" si="42"/>
        <v>791</v>
      </c>
      <c r="L40" s="17">
        <f t="shared" ref="L40:S40" si="43">L36+L38</f>
        <v>866</v>
      </c>
      <c r="M40" s="94">
        <f t="shared" si="43"/>
        <v>912</v>
      </c>
      <c r="N40" s="17">
        <f t="shared" si="43"/>
        <v>274</v>
      </c>
      <c r="O40" s="17">
        <f t="shared" si="43"/>
        <v>132</v>
      </c>
      <c r="P40" s="17">
        <f t="shared" si="43"/>
        <v>196</v>
      </c>
      <c r="Q40" s="94">
        <f t="shared" si="43"/>
        <v>234</v>
      </c>
      <c r="R40" s="94">
        <f t="shared" si="43"/>
        <v>836</v>
      </c>
      <c r="S40" s="96">
        <f t="shared" si="43"/>
        <v>279</v>
      </c>
      <c r="T40" s="17">
        <f>T36+T38</f>
        <v>160</v>
      </c>
      <c r="U40" s="17">
        <f>U36+U38</f>
        <v>-7</v>
      </c>
      <c r="V40" s="17"/>
      <c r="W40" s="17">
        <f>W36+W38</f>
        <v>-12</v>
      </c>
      <c r="X40" s="17">
        <f>X36+X38</f>
        <v>150.5</v>
      </c>
      <c r="Y40" s="96">
        <f t="shared" ref="Y40" si="44">Y36+Y38</f>
        <v>184.58149999999992</v>
      </c>
      <c r="Z40" s="94">
        <f t="shared" ref="Z40" si="45">Z36+Z38</f>
        <v>178.77991218749997</v>
      </c>
      <c r="AA40" s="96">
        <f>AA36+AA38</f>
        <v>792.86141218749981</v>
      </c>
      <c r="AB40" s="96">
        <f t="shared" ref="AB40:AH40" si="46">AB36+AB38</f>
        <v>780.89636680234298</v>
      </c>
      <c r="AC40" s="96">
        <f t="shared" si="46"/>
        <v>790.77848933837254</v>
      </c>
      <c r="AD40" s="96">
        <f t="shared" si="46"/>
        <v>808.84400659625385</v>
      </c>
      <c r="AE40" s="96">
        <f t="shared" si="46"/>
        <v>834.27169781443558</v>
      </c>
      <c r="AF40" s="96">
        <f t="shared" si="46"/>
        <v>866.94697997992444</v>
      </c>
      <c r="AG40" s="96">
        <f t="shared" si="46"/>
        <v>906.79815018310251</v>
      </c>
      <c r="AH40" s="96">
        <f t="shared" si="46"/>
        <v>953.33934920882064</v>
      </c>
    </row>
    <row r="41" spans="1:36">
      <c r="M41" s="59"/>
      <c r="Q41" s="59"/>
      <c r="R41" s="59"/>
      <c r="S41" s="22"/>
      <c r="Y41" s="22"/>
      <c r="Z41" s="59"/>
      <c r="AA41" s="22"/>
      <c r="AB41" s="22"/>
      <c r="AC41" s="22"/>
      <c r="AD41" s="22"/>
      <c r="AE41" s="22"/>
      <c r="AF41" s="22"/>
      <c r="AG41" s="22"/>
      <c r="AH41" s="22"/>
    </row>
    <row r="42" spans="1:36">
      <c r="B42" s="87" t="s">
        <v>11</v>
      </c>
      <c r="C42" s="5">
        <v>-193</v>
      </c>
      <c r="D42" s="5">
        <v>-177</v>
      </c>
      <c r="E42" s="5">
        <v>-198</v>
      </c>
      <c r="F42" s="5">
        <v>-179</v>
      </c>
      <c r="G42" s="5">
        <v>-205</v>
      </c>
      <c r="H42" s="5">
        <v>-113</v>
      </c>
      <c r="I42" s="5">
        <v>-46</v>
      </c>
      <c r="J42" s="5">
        <v>-56</v>
      </c>
      <c r="K42" s="5">
        <v>-150</v>
      </c>
      <c r="L42" s="5">
        <v>-121</v>
      </c>
      <c r="M42" s="59">
        <v>-109</v>
      </c>
      <c r="N42" s="5">
        <v>-34</v>
      </c>
      <c r="O42" s="5">
        <v>-17</v>
      </c>
      <c r="P42" s="5">
        <v>-23</v>
      </c>
      <c r="Q42" s="59">
        <f>R42-P42-O42-N42</f>
        <v>-15</v>
      </c>
      <c r="R42" s="59">
        <v>-89</v>
      </c>
      <c r="S42" s="22">
        <v>-45</v>
      </c>
      <c r="T42" s="5">
        <v>-23</v>
      </c>
      <c r="U42" s="5">
        <v>1</v>
      </c>
      <c r="V42" s="5">
        <f>-Province!C20+Tax!C42+1355</f>
        <v>-290.43890435952562</v>
      </c>
      <c r="W42" s="5">
        <f>IF(Province!C7=1,3,0)</f>
        <v>3</v>
      </c>
      <c r="X42" s="5">
        <f>T42+((U42+W42)/2)+V42</f>
        <v>-311.43890435952562</v>
      </c>
      <c r="Y42" s="22">
        <v>0</v>
      </c>
      <c r="Z42" s="59">
        <v>0</v>
      </c>
      <c r="AA42" s="22">
        <f>SUM(X42:Z42)+S42</f>
        <v>-356.43890435952562</v>
      </c>
      <c r="AB42" s="22">
        <f>-Tax!D37</f>
        <v>0</v>
      </c>
      <c r="AC42" s="22">
        <f>-Tax!E37</f>
        <v>1.8829382497642657E-14</v>
      </c>
      <c r="AD42" s="22">
        <f>-Tax!F37</f>
        <v>-3.0127011996228249E-14</v>
      </c>
      <c r="AE42" s="22">
        <f>-Tax!G37</f>
        <v>3.0127011996228249E-14</v>
      </c>
      <c r="AF42" s="22">
        <f>-Tax!H37</f>
        <v>0</v>
      </c>
      <c r="AG42" s="22">
        <f>-Tax!I37</f>
        <v>-47.025181908091355</v>
      </c>
      <c r="AH42" s="22">
        <f>-Tax!J37</f>
        <v>-74.099266402142405</v>
      </c>
      <c r="AJ42" s="42"/>
    </row>
    <row r="43" spans="1:36">
      <c r="M43" s="59"/>
      <c r="Q43" s="59"/>
      <c r="R43" s="59"/>
      <c r="S43" s="22"/>
      <c r="Y43" s="22"/>
      <c r="Z43" s="59"/>
      <c r="AA43" s="22"/>
      <c r="AB43" s="22"/>
      <c r="AC43" s="22"/>
      <c r="AD43" s="22"/>
      <c r="AE43" s="22"/>
      <c r="AF43" s="22"/>
      <c r="AG43" s="22"/>
      <c r="AH43" s="22"/>
    </row>
    <row r="44" spans="1:36" ht="12.75" thickBot="1">
      <c r="A44" s="105"/>
      <c r="B44" s="90" t="s">
        <v>10</v>
      </c>
      <c r="C44" s="36">
        <f t="shared" ref="C44:K44" si="47">C40+C42</f>
        <v>396</v>
      </c>
      <c r="D44" s="36">
        <f t="shared" si="47"/>
        <v>498</v>
      </c>
      <c r="E44" s="36">
        <f t="shared" si="47"/>
        <v>483</v>
      </c>
      <c r="F44" s="36">
        <f t="shared" si="47"/>
        <v>455</v>
      </c>
      <c r="G44" s="36">
        <f>G40+G42</f>
        <v>399</v>
      </c>
      <c r="H44" s="36">
        <f t="shared" si="47"/>
        <v>498</v>
      </c>
      <c r="I44" s="36">
        <f t="shared" si="47"/>
        <v>470</v>
      </c>
      <c r="J44" s="36">
        <f t="shared" si="47"/>
        <v>591</v>
      </c>
      <c r="K44" s="36">
        <f t="shared" si="47"/>
        <v>641</v>
      </c>
      <c r="L44" s="36">
        <f t="shared" ref="L44:S44" si="48">L40+L42</f>
        <v>745</v>
      </c>
      <c r="M44" s="106">
        <f t="shared" si="48"/>
        <v>803</v>
      </c>
      <c r="N44" s="36">
        <f t="shared" si="48"/>
        <v>240</v>
      </c>
      <c r="O44" s="36">
        <f t="shared" si="48"/>
        <v>115</v>
      </c>
      <c r="P44" s="36">
        <f t="shared" si="48"/>
        <v>173</v>
      </c>
      <c r="Q44" s="106">
        <f t="shared" si="48"/>
        <v>219</v>
      </c>
      <c r="R44" s="106">
        <f t="shared" si="48"/>
        <v>747</v>
      </c>
      <c r="S44" s="36">
        <f t="shared" si="48"/>
        <v>234</v>
      </c>
      <c r="T44" s="36">
        <f t="shared" ref="T44" si="49">T40+T42</f>
        <v>137</v>
      </c>
      <c r="U44" s="36">
        <f>U40+U42</f>
        <v>-6</v>
      </c>
      <c r="V44" s="36">
        <f>V42</f>
        <v>-290.43890435952562</v>
      </c>
      <c r="W44" s="36">
        <f>W40+W42</f>
        <v>-9</v>
      </c>
      <c r="X44" s="36">
        <f>X40+X42</f>
        <v>-160.93890435952562</v>
      </c>
      <c r="Y44" s="36">
        <f>Y40+Y42</f>
        <v>184.58149999999992</v>
      </c>
      <c r="Z44" s="106">
        <f>Z40+Z42</f>
        <v>178.77991218749997</v>
      </c>
      <c r="AA44" s="36">
        <f>AA40+AA42</f>
        <v>436.42250782797419</v>
      </c>
      <c r="AB44" s="36">
        <f t="shared" ref="AB44:AH44" si="50">AB40+AB42</f>
        <v>780.89636680234298</v>
      </c>
      <c r="AC44" s="36">
        <f t="shared" si="50"/>
        <v>790.77848933837254</v>
      </c>
      <c r="AD44" s="36">
        <f t="shared" si="50"/>
        <v>808.84400659625385</v>
      </c>
      <c r="AE44" s="36">
        <f t="shared" si="50"/>
        <v>834.27169781443558</v>
      </c>
      <c r="AF44" s="36">
        <f t="shared" si="50"/>
        <v>866.94697997992444</v>
      </c>
      <c r="AG44" s="36">
        <f t="shared" si="50"/>
        <v>859.77296827501118</v>
      </c>
      <c r="AH44" s="36">
        <f t="shared" si="50"/>
        <v>879.24008280667817</v>
      </c>
      <c r="AJ44" s="42"/>
    </row>
    <row r="45" spans="1:36" ht="12.75" thickTop="1">
      <c r="B45" s="107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9"/>
      <c r="N45" s="98"/>
      <c r="O45" s="98"/>
      <c r="P45" s="98"/>
      <c r="Q45" s="99"/>
      <c r="R45" s="99"/>
      <c r="S45" s="98"/>
      <c r="T45" s="98"/>
      <c r="U45" s="98"/>
      <c r="V45" s="98"/>
      <c r="W45" s="98"/>
      <c r="X45" s="98"/>
      <c r="Y45" s="98"/>
      <c r="Z45" s="99"/>
      <c r="AA45" s="98"/>
      <c r="AB45" s="98"/>
      <c r="AC45" s="98"/>
      <c r="AD45" s="98"/>
      <c r="AE45" s="98"/>
      <c r="AF45" s="98"/>
      <c r="AG45" s="98"/>
      <c r="AH45" s="98"/>
    </row>
    <row r="46" spans="1:36">
      <c r="M46" s="59"/>
      <c r="Q46" s="59"/>
      <c r="R46" s="59"/>
      <c r="S46" s="22"/>
      <c r="Y46" s="108"/>
      <c r="Z46" s="59"/>
      <c r="AA46" s="22"/>
      <c r="AB46" s="22"/>
      <c r="AC46" s="22"/>
      <c r="AD46" s="22"/>
      <c r="AE46" s="22"/>
      <c r="AF46" s="22"/>
      <c r="AG46" s="22"/>
      <c r="AH46" s="22"/>
      <c r="AJ46" s="31"/>
    </row>
    <row r="47" spans="1:36">
      <c r="B47" s="87" t="s">
        <v>12</v>
      </c>
      <c r="C47" s="5">
        <v>3779</v>
      </c>
      <c r="D47" s="5">
        <v>4798</v>
      </c>
      <c r="E47" s="5">
        <v>4652</v>
      </c>
      <c r="F47" s="5">
        <v>4366</v>
      </c>
      <c r="G47" s="5">
        <v>3809</v>
      </c>
      <c r="H47" s="5">
        <v>4797</v>
      </c>
      <c r="I47" s="5">
        <v>4528</v>
      </c>
      <c r="J47" s="5">
        <v>5727</v>
      </c>
      <c r="K47" s="5">
        <v>6228</v>
      </c>
      <c r="L47" s="5">
        <v>7280</v>
      </c>
      <c r="M47" s="59">
        <v>7850</v>
      </c>
      <c r="N47" s="5">
        <v>2357</v>
      </c>
      <c r="O47" s="5">
        <v>1099</v>
      </c>
      <c r="P47" s="5">
        <v>1693</v>
      </c>
      <c r="Q47" s="59">
        <f>(Q44+Q49)/Q53</f>
        <v>2140</v>
      </c>
      <c r="R47" s="59">
        <v>7319</v>
      </c>
      <c r="S47" s="22">
        <v>2286</v>
      </c>
      <c r="T47" s="5">
        <v>1308</v>
      </c>
      <c r="X47" s="22">
        <f>(X44+X49)/X53</f>
        <v>-1659.3890435952562</v>
      </c>
      <c r="Y47" s="22">
        <f>(Y44+Y49)/Y53</f>
        <v>1845.8149999999991</v>
      </c>
      <c r="Z47" s="59">
        <f t="shared" ref="Z47:AH47" si="51">(Z44+Z49)/Z53</f>
        <v>1787.7991218749996</v>
      </c>
      <c r="AA47" s="22">
        <f>(AA44+AA49)/AA53</f>
        <v>4364.2250782797419</v>
      </c>
      <c r="AB47" s="22">
        <f t="shared" si="51"/>
        <v>7808.9636680234298</v>
      </c>
      <c r="AC47" s="22">
        <f t="shared" si="51"/>
        <v>7907.7848933837249</v>
      </c>
      <c r="AD47" s="22">
        <f t="shared" si="51"/>
        <v>8088.440065962538</v>
      </c>
      <c r="AE47" s="22">
        <f t="shared" si="51"/>
        <v>8342.7169781443554</v>
      </c>
      <c r="AF47" s="22">
        <f t="shared" si="51"/>
        <v>8669.4697997992444</v>
      </c>
      <c r="AG47" s="22">
        <f t="shared" si="51"/>
        <v>8597.7296827501104</v>
      </c>
      <c r="AH47" s="22">
        <f t="shared" si="51"/>
        <v>8792.4008280667804</v>
      </c>
      <c r="AI47" s="22"/>
    </row>
    <row r="48" spans="1:36">
      <c r="B48" s="87" t="s">
        <v>13</v>
      </c>
      <c r="C48" s="5">
        <f t="shared" ref="C48:I48" si="52">-C50/C53</f>
        <v>2260</v>
      </c>
      <c r="D48" s="5">
        <f t="shared" si="52"/>
        <v>2470</v>
      </c>
      <c r="E48" s="5">
        <f t="shared" si="52"/>
        <v>2730</v>
      </c>
      <c r="F48" s="5">
        <f t="shared" si="52"/>
        <v>3320</v>
      </c>
      <c r="G48" s="5">
        <f t="shared" si="52"/>
        <v>3070</v>
      </c>
      <c r="H48" s="5">
        <f t="shared" si="52"/>
        <v>2410</v>
      </c>
      <c r="I48" s="5">
        <f t="shared" si="52"/>
        <v>1700</v>
      </c>
      <c r="J48" s="5">
        <f>-J50/J53</f>
        <v>100</v>
      </c>
      <c r="K48" s="5">
        <v>1500</v>
      </c>
      <c r="L48" s="5">
        <v>3523</v>
      </c>
      <c r="M48" s="59">
        <v>2000</v>
      </c>
      <c r="N48" s="5">
        <v>1946</v>
      </c>
      <c r="O48" s="5">
        <v>250</v>
      </c>
      <c r="P48" s="5">
        <v>250</v>
      </c>
      <c r="Q48" s="59">
        <f>-Q50/Q53</f>
        <v>240</v>
      </c>
      <c r="R48" s="59">
        <v>2696</v>
      </c>
      <c r="S48" s="22">
        <v>250</v>
      </c>
      <c r="T48" s="5">
        <v>250</v>
      </c>
      <c r="X48" s="22">
        <f>-X50/X53</f>
        <v>250</v>
      </c>
      <c r="Y48" s="22">
        <f>-Y50/Y53</f>
        <v>1384.3612499999995</v>
      </c>
      <c r="Z48" s="59">
        <f t="shared" ref="Z48:AH48" si="53">-Z50/Z53</f>
        <v>1340.8493414062496</v>
      </c>
      <c r="AA48" s="22">
        <f t="shared" si="53"/>
        <v>3225.210591406249</v>
      </c>
      <c r="AB48" s="22">
        <f t="shared" si="53"/>
        <v>5856.7227510175717</v>
      </c>
      <c r="AC48" s="22">
        <f t="shared" si="53"/>
        <v>5930.8386700377941</v>
      </c>
      <c r="AD48" s="22">
        <f t="shared" si="53"/>
        <v>6066.3300494719033</v>
      </c>
      <c r="AE48" s="22">
        <f t="shared" si="53"/>
        <v>6257.0377336082674</v>
      </c>
      <c r="AF48" s="22">
        <f t="shared" si="53"/>
        <v>6502.1023498494333</v>
      </c>
      <c r="AG48" s="22">
        <f t="shared" si="53"/>
        <v>6448.2972620625833</v>
      </c>
      <c r="AH48" s="22">
        <f t="shared" si="53"/>
        <v>6594.3006210500853</v>
      </c>
      <c r="AI48" s="22"/>
    </row>
    <row r="49" spans="2:34">
      <c r="B49" s="87" t="s">
        <v>44</v>
      </c>
      <c r="C49" s="5">
        <v>-18</v>
      </c>
      <c r="D49" s="5">
        <v>-18</v>
      </c>
      <c r="E49" s="5">
        <v>-18</v>
      </c>
      <c r="F49" s="5">
        <v>-18</v>
      </c>
      <c r="G49" s="5">
        <v>-18</v>
      </c>
      <c r="H49" s="5">
        <v>-18</v>
      </c>
      <c r="I49" s="5">
        <v>-18</v>
      </c>
      <c r="J49" s="5">
        <v>-18</v>
      </c>
      <c r="K49" s="5">
        <v>-18</v>
      </c>
      <c r="L49" s="5">
        <v>-18</v>
      </c>
      <c r="M49" s="59">
        <v>-18</v>
      </c>
      <c r="N49" s="5">
        <v>-4</v>
      </c>
      <c r="O49" s="5">
        <v>-5</v>
      </c>
      <c r="P49" s="5">
        <v>-4</v>
      </c>
      <c r="Q49" s="59">
        <f>R49-P49-O49-N49</f>
        <v>-5</v>
      </c>
      <c r="R49" s="59">
        <v>-18</v>
      </c>
      <c r="S49" s="22">
        <v>-4</v>
      </c>
      <c r="T49" s="5">
        <v>-5</v>
      </c>
      <c r="X49" s="22">
        <f>T49</f>
        <v>-5</v>
      </c>
      <c r="Y49" s="22">
        <v>0</v>
      </c>
      <c r="Z49" s="59">
        <f>Y49</f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</row>
    <row r="50" spans="2:34">
      <c r="B50" s="87" t="s">
        <v>45</v>
      </c>
      <c r="C50" s="5">
        <v>-226</v>
      </c>
      <c r="D50" s="5">
        <v>-247</v>
      </c>
      <c r="E50" s="5">
        <v>-273</v>
      </c>
      <c r="F50" s="5">
        <v>-332</v>
      </c>
      <c r="G50" s="5">
        <v>-307</v>
      </c>
      <c r="H50" s="5">
        <v>-241</v>
      </c>
      <c r="I50" s="5">
        <v>-170</v>
      </c>
      <c r="J50" s="5">
        <v>-10</v>
      </c>
      <c r="K50" s="5">
        <v>-150</v>
      </c>
      <c r="L50" s="5">
        <v>-352</v>
      </c>
      <c r="M50" s="59">
        <v>-200</v>
      </c>
      <c r="N50" s="5">
        <v>-195</v>
      </c>
      <c r="O50" s="5">
        <v>-25</v>
      </c>
      <c r="P50" s="5">
        <v>-25</v>
      </c>
      <c r="Q50" s="59">
        <f>R50-P50-O50-N50</f>
        <v>-24</v>
      </c>
      <c r="R50" s="59">
        <v>-269</v>
      </c>
      <c r="S50" s="22">
        <v>-25</v>
      </c>
      <c r="T50" s="5">
        <v>-25</v>
      </c>
      <c r="X50" s="22">
        <f>T50</f>
        <v>-25</v>
      </c>
      <c r="Y50" s="22">
        <f>-(Y44+Y49)*Y213</f>
        <v>-138.43612499999995</v>
      </c>
      <c r="Z50" s="59">
        <f>-(Z44+Z49)*Z213</f>
        <v>-134.08493414062497</v>
      </c>
      <c r="AA50" s="22">
        <f>SUM(X50:Z50)+S50</f>
        <v>-322.52105914062491</v>
      </c>
      <c r="AB50" s="22">
        <f t="shared" ref="AB50:AH50" si="54">-(AB44+AB49)*AB213</f>
        <v>-585.67227510175724</v>
      </c>
      <c r="AC50" s="22">
        <f t="shared" si="54"/>
        <v>-593.08386700377946</v>
      </c>
      <c r="AD50" s="22">
        <f t="shared" si="54"/>
        <v>-606.63300494719033</v>
      </c>
      <c r="AE50" s="22">
        <f t="shared" si="54"/>
        <v>-625.70377336082674</v>
      </c>
      <c r="AF50" s="22">
        <f t="shared" si="54"/>
        <v>-650.21023498494333</v>
      </c>
      <c r="AG50" s="22">
        <f t="shared" si="54"/>
        <v>-644.82972620625833</v>
      </c>
      <c r="AH50" s="22">
        <f t="shared" si="54"/>
        <v>-659.43006210500857</v>
      </c>
    </row>
    <row r="51" spans="2:34">
      <c r="B51" s="87" t="s">
        <v>69</v>
      </c>
      <c r="M51" s="59"/>
      <c r="Q51" s="59"/>
      <c r="R51" s="59"/>
      <c r="S51" s="22"/>
      <c r="Y51" s="22"/>
      <c r="Z51" s="59"/>
      <c r="AA51" s="22"/>
      <c r="AB51" s="22"/>
      <c r="AC51" s="22"/>
      <c r="AD51" s="22"/>
      <c r="AE51" s="22"/>
      <c r="AF51" s="22"/>
      <c r="AG51" s="22"/>
      <c r="AH51" s="22"/>
    </row>
    <row r="52" spans="2:34">
      <c r="B52" s="87" t="s">
        <v>44</v>
      </c>
      <c r="C52" s="110">
        <v>12.92</v>
      </c>
      <c r="D52" s="110">
        <v>12.92</v>
      </c>
      <c r="E52" s="110">
        <v>12.92</v>
      </c>
      <c r="F52" s="110">
        <v>12.92</v>
      </c>
      <c r="G52" s="110">
        <v>12.92</v>
      </c>
      <c r="H52" s="110">
        <v>12.92</v>
      </c>
      <c r="I52" s="110">
        <v>12.92</v>
      </c>
      <c r="J52" s="110">
        <v>12.92</v>
      </c>
      <c r="K52" s="110">
        <v>12.92</v>
      </c>
      <c r="L52" s="110">
        <v>12.92</v>
      </c>
      <c r="M52" s="111">
        <v>12.92</v>
      </c>
      <c r="N52" s="110">
        <v>12.92</v>
      </c>
      <c r="O52" s="110">
        <v>12.92</v>
      </c>
      <c r="P52" s="110">
        <v>12.92</v>
      </c>
      <c r="Q52" s="111">
        <v>12.92</v>
      </c>
      <c r="R52" s="111">
        <v>12.92</v>
      </c>
      <c r="S52" s="112">
        <v>12.92</v>
      </c>
      <c r="T52" s="110">
        <v>12.92</v>
      </c>
      <c r="U52" s="110"/>
      <c r="V52" s="110"/>
      <c r="W52" s="110"/>
      <c r="X52" s="110">
        <v>0</v>
      </c>
      <c r="Y52" s="112">
        <v>0</v>
      </c>
      <c r="Z52" s="111">
        <f t="shared" ref="Z52:AH52" si="55">Y52</f>
        <v>0</v>
      </c>
      <c r="AA52" s="112">
        <f t="shared" si="55"/>
        <v>0</v>
      </c>
      <c r="AB52" s="112">
        <f t="shared" si="55"/>
        <v>0</v>
      </c>
      <c r="AC52" s="112">
        <f t="shared" si="55"/>
        <v>0</v>
      </c>
      <c r="AD52" s="112">
        <f t="shared" si="55"/>
        <v>0</v>
      </c>
      <c r="AE52" s="112">
        <f t="shared" si="55"/>
        <v>0</v>
      </c>
      <c r="AF52" s="112">
        <f t="shared" si="55"/>
        <v>0</v>
      </c>
      <c r="AG52" s="112">
        <f t="shared" si="55"/>
        <v>0</v>
      </c>
      <c r="AH52" s="112">
        <f t="shared" si="55"/>
        <v>0</v>
      </c>
    </row>
    <row r="53" spans="2:34">
      <c r="B53" s="87" t="s">
        <v>45</v>
      </c>
      <c r="C53" s="110">
        <v>0.1</v>
      </c>
      <c r="D53" s="110">
        <v>0.1</v>
      </c>
      <c r="E53" s="110">
        <v>0.1</v>
      </c>
      <c r="F53" s="110">
        <v>0.1</v>
      </c>
      <c r="G53" s="110">
        <v>0.1</v>
      </c>
      <c r="H53" s="110">
        <v>0.1</v>
      </c>
      <c r="I53" s="110">
        <v>0.1</v>
      </c>
      <c r="J53" s="110">
        <v>0.1</v>
      </c>
      <c r="K53" s="110">
        <v>0.1</v>
      </c>
      <c r="L53" s="110">
        <v>0.1</v>
      </c>
      <c r="M53" s="111">
        <v>0.1</v>
      </c>
      <c r="N53" s="110">
        <v>0.1</v>
      </c>
      <c r="O53" s="110">
        <v>0.1</v>
      </c>
      <c r="P53" s="110">
        <v>0.1</v>
      </c>
      <c r="Q53" s="111">
        <v>0.1</v>
      </c>
      <c r="R53" s="111">
        <v>0.1</v>
      </c>
      <c r="S53" s="112">
        <v>0.1</v>
      </c>
      <c r="T53" s="110">
        <v>0.1</v>
      </c>
      <c r="U53" s="110"/>
      <c r="V53" s="110"/>
      <c r="W53" s="110"/>
      <c r="X53" s="113">
        <f>T53</f>
        <v>0.1</v>
      </c>
      <c r="Y53" s="112">
        <f>T53</f>
        <v>0.1</v>
      </c>
      <c r="Z53" s="111">
        <f t="shared" ref="Z53:AH53" si="56">Y53</f>
        <v>0.1</v>
      </c>
      <c r="AA53" s="112">
        <f t="shared" si="56"/>
        <v>0.1</v>
      </c>
      <c r="AB53" s="112">
        <f t="shared" si="56"/>
        <v>0.1</v>
      </c>
      <c r="AC53" s="112">
        <f t="shared" si="56"/>
        <v>0.1</v>
      </c>
      <c r="AD53" s="112">
        <f t="shared" si="56"/>
        <v>0.1</v>
      </c>
      <c r="AE53" s="112">
        <f t="shared" si="56"/>
        <v>0.1</v>
      </c>
      <c r="AF53" s="112">
        <f t="shared" si="56"/>
        <v>0.1</v>
      </c>
      <c r="AG53" s="112">
        <f t="shared" si="56"/>
        <v>0.1</v>
      </c>
      <c r="AH53" s="112">
        <f t="shared" si="56"/>
        <v>0.1</v>
      </c>
    </row>
    <row r="54" spans="2:34">
      <c r="M54" s="59"/>
      <c r="Q54" s="59"/>
      <c r="R54" s="59"/>
      <c r="S54" s="22"/>
      <c r="Y54" s="22"/>
      <c r="Z54" s="59"/>
      <c r="AA54" s="22"/>
      <c r="AB54" s="22"/>
      <c r="AC54" s="22"/>
      <c r="AD54" s="22"/>
      <c r="AE54" s="22"/>
      <c r="AF54" s="22"/>
      <c r="AG54" s="22"/>
      <c r="AH54" s="22"/>
    </row>
    <row r="55" spans="2:34">
      <c r="B55" s="299" t="s">
        <v>27</v>
      </c>
      <c r="C55" s="290"/>
      <c r="D55" s="290"/>
      <c r="E55" s="290"/>
      <c r="F55" s="290"/>
      <c r="G55" s="290"/>
      <c r="H55" s="290"/>
      <c r="I55" s="290"/>
      <c r="J55" s="290"/>
      <c r="K55" s="290"/>
      <c r="L55" s="290"/>
      <c r="M55" s="291"/>
      <c r="N55" s="292"/>
      <c r="O55" s="292"/>
      <c r="P55" s="292"/>
      <c r="Q55" s="293"/>
      <c r="R55" s="294"/>
      <c r="S55" s="295"/>
      <c r="T55" s="292"/>
      <c r="U55" s="298"/>
      <c r="V55" s="298"/>
      <c r="W55" s="298"/>
      <c r="X55" s="296"/>
      <c r="Y55" s="296"/>
      <c r="Z55" s="297"/>
      <c r="AA55" s="296"/>
      <c r="AB55" s="296"/>
      <c r="AC55" s="296"/>
      <c r="AD55" s="296"/>
      <c r="AE55" s="296"/>
      <c r="AF55" s="296"/>
      <c r="AG55" s="296"/>
      <c r="AH55" s="296"/>
    </row>
    <row r="56" spans="2:34">
      <c r="M56" s="59"/>
      <c r="Q56" s="59"/>
      <c r="R56" s="59"/>
      <c r="S56" s="22"/>
      <c r="Y56" s="22"/>
      <c r="Z56" s="59"/>
      <c r="AA56" s="22"/>
      <c r="AB56" s="22"/>
      <c r="AC56" s="22"/>
      <c r="AD56" s="22"/>
      <c r="AE56" s="22"/>
      <c r="AF56" s="22"/>
      <c r="AG56" s="22"/>
      <c r="AH56" s="22"/>
    </row>
    <row r="57" spans="2:34">
      <c r="B57" s="90" t="s">
        <v>10</v>
      </c>
      <c r="C57" s="17">
        <f t="shared" ref="C57:N57" si="57">C44</f>
        <v>396</v>
      </c>
      <c r="D57" s="17">
        <f t="shared" si="57"/>
        <v>498</v>
      </c>
      <c r="E57" s="17">
        <f t="shared" si="57"/>
        <v>483</v>
      </c>
      <c r="F57" s="17">
        <f t="shared" si="57"/>
        <v>455</v>
      </c>
      <c r="G57" s="17">
        <f t="shared" si="57"/>
        <v>399</v>
      </c>
      <c r="H57" s="17">
        <f t="shared" si="57"/>
        <v>498</v>
      </c>
      <c r="I57" s="17">
        <f t="shared" si="57"/>
        <v>470</v>
      </c>
      <c r="J57" s="17">
        <f t="shared" si="57"/>
        <v>591</v>
      </c>
      <c r="K57" s="17">
        <f t="shared" si="57"/>
        <v>641</v>
      </c>
      <c r="L57" s="17">
        <f t="shared" si="57"/>
        <v>745</v>
      </c>
      <c r="M57" s="94">
        <f t="shared" si="57"/>
        <v>803</v>
      </c>
      <c r="N57" s="17">
        <f t="shared" si="57"/>
        <v>240</v>
      </c>
      <c r="O57" s="17">
        <f t="shared" ref="O57" si="58">O44</f>
        <v>115</v>
      </c>
      <c r="P57" s="17">
        <f t="shared" ref="P57" si="59">P44</f>
        <v>173</v>
      </c>
      <c r="Q57" s="94">
        <f t="shared" ref="Q57:S57" si="60">Q44</f>
        <v>219</v>
      </c>
      <c r="R57" s="94">
        <f t="shared" si="60"/>
        <v>747</v>
      </c>
      <c r="S57" s="96">
        <f t="shared" si="60"/>
        <v>234</v>
      </c>
      <c r="T57" s="17">
        <f>T44</f>
        <v>137</v>
      </c>
      <c r="U57" s="17"/>
      <c r="V57" s="17">
        <f>V44</f>
        <v>-290.43890435952562</v>
      </c>
      <c r="W57" s="17">
        <f>W44</f>
        <v>-9</v>
      </c>
      <c r="X57" s="17">
        <f>X44</f>
        <v>-160.93890435952562</v>
      </c>
      <c r="Y57" s="96">
        <f>Y44</f>
        <v>184.58149999999992</v>
      </c>
      <c r="Z57" s="94">
        <f t="shared" ref="Z57" si="61">Z44</f>
        <v>178.77991218749997</v>
      </c>
      <c r="AA57" s="96">
        <f>AA44</f>
        <v>436.42250782797419</v>
      </c>
      <c r="AB57" s="96">
        <f t="shared" ref="AB57:AH57" si="62">AB44</f>
        <v>780.89636680234298</v>
      </c>
      <c r="AC57" s="96">
        <f t="shared" si="62"/>
        <v>790.77848933837254</v>
      </c>
      <c r="AD57" s="96">
        <f t="shared" si="62"/>
        <v>808.84400659625385</v>
      </c>
      <c r="AE57" s="96">
        <f t="shared" si="62"/>
        <v>834.27169781443558</v>
      </c>
      <c r="AF57" s="96">
        <f t="shared" si="62"/>
        <v>866.94697997992444</v>
      </c>
      <c r="AG57" s="96">
        <f t="shared" si="62"/>
        <v>859.77296827501118</v>
      </c>
      <c r="AH57" s="96">
        <f t="shared" si="62"/>
        <v>879.24008280667817</v>
      </c>
    </row>
    <row r="58" spans="2:34">
      <c r="B58" s="87" t="s">
        <v>5</v>
      </c>
      <c r="C58" s="5">
        <v>417</v>
      </c>
      <c r="D58" s="5">
        <v>446</v>
      </c>
      <c r="E58" s="5">
        <v>446</v>
      </c>
      <c r="F58" s="5">
        <v>474</v>
      </c>
      <c r="G58" s="5">
        <v>482</v>
      </c>
      <c r="H58" s="5">
        <v>502</v>
      </c>
      <c r="I58" s="5">
        <v>487</v>
      </c>
      <c r="J58" s="5">
        <v>526</v>
      </c>
      <c r="K58" s="5">
        <v>550</v>
      </c>
      <c r="L58" s="5">
        <v>589</v>
      </c>
      <c r="M58" s="59">
        <v>597</v>
      </c>
      <c r="N58" s="5">
        <v>151</v>
      </c>
      <c r="O58" s="5">
        <v>155</v>
      </c>
      <c r="P58" s="5">
        <v>163</v>
      </c>
      <c r="Q58" s="59">
        <f>R58-SUM(N58:P58)</f>
        <v>172</v>
      </c>
      <c r="R58" s="59">
        <v>641</v>
      </c>
      <c r="S58" s="22">
        <v>170</v>
      </c>
      <c r="T58" s="5">
        <v>162</v>
      </c>
      <c r="X58" s="22">
        <f>-X26</f>
        <v>185.5</v>
      </c>
      <c r="Y58" s="22">
        <f>-Y26</f>
        <v>190.66000000000003</v>
      </c>
      <c r="Z58" s="59">
        <f>-Z26</f>
        <v>193.90100000000001</v>
      </c>
      <c r="AA58" s="22">
        <f>SUM(X58:Z58)+S58</f>
        <v>740.06100000000004</v>
      </c>
      <c r="AB58" s="22">
        <f>-AB26</f>
        <v>818.45813150000004</v>
      </c>
      <c r="AC58" s="22">
        <f t="shared" ref="AC58:AH58" si="63">-AC26</f>
        <v>854.48756794950009</v>
      </c>
      <c r="AD58" s="22">
        <f t="shared" si="63"/>
        <v>888.22398690648356</v>
      </c>
      <c r="AE58" s="22">
        <f t="shared" si="63"/>
        <v>920.07434235296512</v>
      </c>
      <c r="AF58" s="22">
        <f t="shared" si="63"/>
        <v>950.2166294817639</v>
      </c>
      <c r="AG58" s="22">
        <f t="shared" si="63"/>
        <v>978.75221265027517</v>
      </c>
      <c r="AH58" s="22">
        <f t="shared" si="63"/>
        <v>1005.7722278527447</v>
      </c>
    </row>
    <row r="59" spans="2:34">
      <c r="B59" s="87" t="s">
        <v>3</v>
      </c>
      <c r="C59" s="5">
        <v>81</v>
      </c>
      <c r="D59" s="5">
        <v>0</v>
      </c>
      <c r="E59" s="5">
        <v>46</v>
      </c>
      <c r="F59" s="5">
        <v>86</v>
      </c>
      <c r="G59" s="5">
        <v>125</v>
      </c>
      <c r="H59" s="5">
        <v>-73</v>
      </c>
      <c r="I59" s="5">
        <v>-27</v>
      </c>
      <c r="J59" s="5">
        <v>-47</v>
      </c>
      <c r="K59" s="5">
        <v>32</v>
      </c>
      <c r="L59" s="5">
        <v>-9</v>
      </c>
      <c r="M59" s="59">
        <v>-7</v>
      </c>
      <c r="N59" s="5">
        <v>66</v>
      </c>
      <c r="O59" s="5">
        <v>-89</v>
      </c>
      <c r="P59" s="5">
        <v>10</v>
      </c>
      <c r="Q59" s="59">
        <v>-64</v>
      </c>
      <c r="R59" s="59">
        <v>-77</v>
      </c>
      <c r="S59" s="22">
        <v>88</v>
      </c>
      <c r="T59" s="5">
        <f>-5-16+2</f>
        <v>-19</v>
      </c>
      <c r="V59" s="5">
        <f>-V42</f>
        <v>290.43890435952562</v>
      </c>
      <c r="X59" s="5">
        <f>SUM(T59:W59)</f>
        <v>271.43890435952562</v>
      </c>
      <c r="Y59" s="109">
        <v>0</v>
      </c>
      <c r="Z59" s="114">
        <v>0</v>
      </c>
      <c r="AA59" s="22">
        <f>SUM(X59:Z59)+S59</f>
        <v>359.43890435952562</v>
      </c>
      <c r="AB59" s="109">
        <v>0</v>
      </c>
      <c r="AC59" s="109">
        <v>0</v>
      </c>
      <c r="AD59" s="109">
        <v>0</v>
      </c>
      <c r="AE59" s="109">
        <v>0</v>
      </c>
      <c r="AF59" s="109">
        <v>0</v>
      </c>
      <c r="AG59" s="109">
        <v>0</v>
      </c>
      <c r="AH59" s="109">
        <v>0</v>
      </c>
    </row>
    <row r="60" spans="2:34">
      <c r="B60" s="87" t="s">
        <v>74</v>
      </c>
      <c r="C60" s="24">
        <v>138</v>
      </c>
      <c r="D60" s="24">
        <v>-33</v>
      </c>
      <c r="E60" s="24">
        <v>194</v>
      </c>
      <c r="F60" s="24">
        <v>-106</v>
      </c>
      <c r="G60" s="24">
        <v>135</v>
      </c>
      <c r="H60" s="24">
        <v>125</v>
      </c>
      <c r="I60" s="24">
        <v>-38</v>
      </c>
      <c r="J60" s="24">
        <v>94</v>
      </c>
      <c r="K60" s="24">
        <v>184</v>
      </c>
      <c r="L60" s="24">
        <v>-31</v>
      </c>
      <c r="M60" s="60">
        <v>11</v>
      </c>
      <c r="N60" s="24">
        <v>-308</v>
      </c>
      <c r="O60" s="24">
        <v>4</v>
      </c>
      <c r="P60" s="24">
        <v>97</v>
      </c>
      <c r="Q60" s="60">
        <f>R60-SUM(N60:P60)</f>
        <v>152</v>
      </c>
      <c r="R60" s="60">
        <v>-55</v>
      </c>
      <c r="S60" s="24">
        <v>-66</v>
      </c>
      <c r="T60" s="24">
        <v>7</v>
      </c>
      <c r="U60" s="24"/>
      <c r="V60" s="24"/>
      <c r="W60" s="24"/>
      <c r="X60" s="24">
        <f>T60</f>
        <v>7</v>
      </c>
      <c r="Y60" s="24">
        <f>-(Y81-X81)+(Y100-X100)</f>
        <v>-144.00639999999999</v>
      </c>
      <c r="Z60" s="60">
        <f t="shared" ref="Z60:AH60" si="64">-(Z81-Y81)+(Z100-Y100)</f>
        <v>-6.8848919999999225</v>
      </c>
      <c r="AA60" s="24">
        <f>SUM(X60:Z60)+S60</f>
        <v>-209.89129199999991</v>
      </c>
      <c r="AB60" s="24">
        <f t="shared" si="64"/>
        <v>-11.891422440000156</v>
      </c>
      <c r="AC60" s="24">
        <f>-(AC81-AB81)+(AC100-AB100)</f>
        <v>-9.153047462549921</v>
      </c>
      <c r="AD60" s="24">
        <f>-(AD81-AC81)+(AD100-AC100)</f>
        <v>-9.6239450363570995</v>
      </c>
      <c r="AE60" s="24">
        <f t="shared" si="64"/>
        <v>-10.120091575991182</v>
      </c>
      <c r="AF60" s="24">
        <f>-(AF81-AE81)+(AF100-AE100)</f>
        <v>-10.642862766557982</v>
      </c>
      <c r="AG60" s="24">
        <f t="shared" si="64"/>
        <v>-11.193709695683083</v>
      </c>
      <c r="AH60" s="24">
        <f t="shared" si="64"/>
        <v>-11.774162995449842</v>
      </c>
    </row>
    <row r="61" spans="2:34">
      <c r="B61" s="90" t="s">
        <v>18</v>
      </c>
      <c r="C61" s="17">
        <f>SUM(C57:C60)</f>
        <v>1032</v>
      </c>
      <c r="D61" s="17">
        <f t="shared" ref="D61:AH61" si="65">SUM(D57:D60)</f>
        <v>911</v>
      </c>
      <c r="E61" s="17">
        <f t="shared" si="65"/>
        <v>1169</v>
      </c>
      <c r="F61" s="17">
        <f t="shared" si="65"/>
        <v>909</v>
      </c>
      <c r="G61" s="17">
        <f t="shared" si="65"/>
        <v>1141</v>
      </c>
      <c r="H61" s="17">
        <f t="shared" si="65"/>
        <v>1052</v>
      </c>
      <c r="I61" s="17">
        <f t="shared" si="65"/>
        <v>892</v>
      </c>
      <c r="J61" s="17">
        <f t="shared" si="65"/>
        <v>1164</v>
      </c>
      <c r="K61" s="17">
        <f t="shared" si="65"/>
        <v>1407</v>
      </c>
      <c r="L61" s="17">
        <f t="shared" si="65"/>
        <v>1294</v>
      </c>
      <c r="M61" s="94">
        <f t="shared" si="65"/>
        <v>1404</v>
      </c>
      <c r="N61" s="17">
        <f t="shared" si="65"/>
        <v>149</v>
      </c>
      <c r="O61" s="17">
        <f t="shared" si="65"/>
        <v>185</v>
      </c>
      <c r="P61" s="17">
        <f t="shared" si="65"/>
        <v>443</v>
      </c>
      <c r="Q61" s="94">
        <f>SUM(Q57:Q60)</f>
        <v>479</v>
      </c>
      <c r="R61" s="94">
        <f t="shared" si="65"/>
        <v>1256</v>
      </c>
      <c r="S61" s="96">
        <f t="shared" si="65"/>
        <v>426</v>
      </c>
      <c r="T61" s="17">
        <f t="shared" si="65"/>
        <v>287</v>
      </c>
      <c r="U61" s="17"/>
      <c r="V61" s="17">
        <f>SUM(V57:V60)</f>
        <v>0</v>
      </c>
      <c r="W61" s="17">
        <f>SUM(W57:W60)</f>
        <v>-9</v>
      </c>
      <c r="X61" s="17">
        <f>SUM(X57:X60)</f>
        <v>303</v>
      </c>
      <c r="Y61" s="96">
        <f>SUM(Y57:Y60)</f>
        <v>231.23509999999999</v>
      </c>
      <c r="Z61" s="94">
        <f t="shared" si="65"/>
        <v>365.79602018750006</v>
      </c>
      <c r="AA61" s="96">
        <f>SUM(AA57:AA60)</f>
        <v>1326.0311201875002</v>
      </c>
      <c r="AB61" s="96">
        <f t="shared" si="65"/>
        <v>1587.463075862343</v>
      </c>
      <c r="AC61" s="96">
        <f t="shared" si="65"/>
        <v>1636.1130098253227</v>
      </c>
      <c r="AD61" s="96">
        <f t="shared" si="65"/>
        <v>1687.4440484663803</v>
      </c>
      <c r="AE61" s="96">
        <f t="shared" si="65"/>
        <v>1744.2259485914094</v>
      </c>
      <c r="AF61" s="96">
        <f t="shared" si="65"/>
        <v>1806.5207466951304</v>
      </c>
      <c r="AG61" s="96">
        <f t="shared" si="65"/>
        <v>1827.3314712296033</v>
      </c>
      <c r="AH61" s="96">
        <f t="shared" si="65"/>
        <v>1873.238147663973</v>
      </c>
    </row>
    <row r="62" spans="2:34">
      <c r="M62" s="59"/>
      <c r="Q62" s="59"/>
      <c r="R62" s="59"/>
      <c r="S62" s="22"/>
      <c r="Y62" s="22"/>
      <c r="Z62" s="59"/>
      <c r="AA62" s="22"/>
      <c r="AB62" s="22"/>
      <c r="AC62" s="22"/>
      <c r="AD62" s="22"/>
      <c r="AE62" s="22"/>
      <c r="AF62" s="22"/>
      <c r="AG62" s="22"/>
      <c r="AH62" s="22"/>
    </row>
    <row r="63" spans="2:34">
      <c r="B63" s="87" t="s">
        <v>19</v>
      </c>
      <c r="C63" s="22">
        <f>1250-879-554</f>
        <v>-183</v>
      </c>
      <c r="D63" s="22">
        <f>540-472+15</f>
        <v>83</v>
      </c>
      <c r="E63" s="22">
        <f>500-648-40</f>
        <v>-188</v>
      </c>
      <c r="F63" s="22">
        <f>775-589+60</f>
        <v>246</v>
      </c>
      <c r="G63" s="22">
        <f>700-355-60</f>
        <v>285</v>
      </c>
      <c r="H63" s="22">
        <f>1050-540</f>
        <v>510</v>
      </c>
      <c r="I63" s="22">
        <f>1150-400+55</f>
        <v>805</v>
      </c>
      <c r="J63" s="22">
        <f>1500-600-55</f>
        <v>845</v>
      </c>
      <c r="K63" s="22">
        <f>700-500+39</f>
        <v>239</v>
      </c>
      <c r="L63" s="22">
        <f>1085-600+3</f>
        <v>488</v>
      </c>
      <c r="M63" s="59">
        <f>1185-600-11</f>
        <v>574</v>
      </c>
      <c r="N63" s="22">
        <f>175-16</f>
        <v>159</v>
      </c>
      <c r="O63" s="22">
        <f>453+20</f>
        <v>473</v>
      </c>
      <c r="P63" s="22">
        <v>-26</v>
      </c>
      <c r="Q63" s="59">
        <f>R63-SUM(N63:P63)</f>
        <v>-783</v>
      </c>
      <c r="R63" s="59">
        <f>628-776-29</f>
        <v>-177</v>
      </c>
      <c r="S63" s="22">
        <f>33</f>
        <v>33</v>
      </c>
      <c r="T63" s="22">
        <f>350</f>
        <v>350</v>
      </c>
      <c r="U63" s="22"/>
      <c r="V63" s="22">
        <f>IF(Province!C5=1,(IF(V64&gt;0,0,Province!C20)),0)</f>
        <v>0</v>
      </c>
      <c r="W63" s="22">
        <f>IF(Province!C7=1,800,0)</f>
        <v>800</v>
      </c>
      <c r="X63" s="22">
        <f>SUM(T63:W63)</f>
        <v>1150</v>
      </c>
      <c r="Y63" s="22">
        <f>Y231</f>
        <v>302.20102499999996</v>
      </c>
      <c r="Z63" s="59">
        <f>Z231</f>
        <v>163.2889139531249</v>
      </c>
      <c r="AA63" s="22">
        <f>SUM(X63:Z63)+S63</f>
        <v>1648.4899389531247</v>
      </c>
      <c r="AB63" s="22">
        <f>AB231</f>
        <v>533.20919923941426</v>
      </c>
      <c r="AC63" s="22">
        <f t="shared" ref="AC63:AH63" si="66">AC231</f>
        <v>478.97085717845675</v>
      </c>
      <c r="AD63" s="22">
        <f t="shared" si="66"/>
        <v>436.18895648081002</v>
      </c>
      <c r="AE63" s="22">
        <f t="shared" si="66"/>
        <v>395.47782476941734</v>
      </c>
      <c r="AF63" s="22">
        <f t="shared" si="66"/>
        <v>357.68948828981297</v>
      </c>
      <c r="AG63" s="22">
        <f t="shared" si="66"/>
        <v>331.49825497665506</v>
      </c>
      <c r="AH63" s="22">
        <f t="shared" si="66"/>
        <v>300.19191444103558</v>
      </c>
    </row>
    <row r="64" spans="2:34">
      <c r="B64" s="87" t="s">
        <v>20</v>
      </c>
      <c r="C64" s="22">
        <v>-244</v>
      </c>
      <c r="D64" s="22">
        <v>-265</v>
      </c>
      <c r="E64" s="22">
        <v>-291</v>
      </c>
      <c r="F64" s="22">
        <v>-350</v>
      </c>
      <c r="G64" s="22">
        <v>-325</v>
      </c>
      <c r="H64" s="22">
        <v>-259</v>
      </c>
      <c r="I64" s="22">
        <v>-188</v>
      </c>
      <c r="J64" s="22">
        <v>-28</v>
      </c>
      <c r="K64" s="22">
        <v>-168</v>
      </c>
      <c r="L64" s="22">
        <v>-370</v>
      </c>
      <c r="M64" s="59">
        <v>-218</v>
      </c>
      <c r="N64" s="22">
        <v>-199</v>
      </c>
      <c r="O64" s="22">
        <v>-30</v>
      </c>
      <c r="P64" s="22">
        <v>-29</v>
      </c>
      <c r="Q64" s="59">
        <f>R64-SUM(N64:P64)</f>
        <v>-29</v>
      </c>
      <c r="R64" s="59">
        <v>-287</v>
      </c>
      <c r="S64" s="22">
        <v>-29</v>
      </c>
      <c r="T64" s="22">
        <v>-30</v>
      </c>
      <c r="U64" s="22"/>
      <c r="V64" s="22">
        <f>IF(Province!C6=1,-Province!C49,0)</f>
        <v>2600</v>
      </c>
      <c r="W64" s="22"/>
      <c r="X64" s="22">
        <f>SUM(T64:W64)</f>
        <v>2570</v>
      </c>
      <c r="Y64" s="22">
        <f>Y49+Y50</f>
        <v>-138.43612499999995</v>
      </c>
      <c r="Z64" s="59">
        <f>Z49+Z50</f>
        <v>-134.08493414062497</v>
      </c>
      <c r="AA64" s="22">
        <f>SUM(X64:Z64)+S64</f>
        <v>2268.4789408593747</v>
      </c>
      <c r="AB64" s="22">
        <f t="shared" ref="AB64:AH64" si="67">AB49+AB50</f>
        <v>-585.67227510175724</v>
      </c>
      <c r="AC64" s="22">
        <f t="shared" si="67"/>
        <v>-593.08386700377946</v>
      </c>
      <c r="AD64" s="22">
        <f t="shared" si="67"/>
        <v>-606.63300494719033</v>
      </c>
      <c r="AE64" s="22">
        <f t="shared" si="67"/>
        <v>-625.70377336082674</v>
      </c>
      <c r="AF64" s="22">
        <f t="shared" si="67"/>
        <v>-650.21023498494333</v>
      </c>
      <c r="AG64" s="22">
        <f t="shared" si="67"/>
        <v>-644.82972620625833</v>
      </c>
      <c r="AH64" s="22">
        <f t="shared" si="67"/>
        <v>-659.43006210500857</v>
      </c>
    </row>
    <row r="65" spans="2:36">
      <c r="B65" s="87" t="s">
        <v>3</v>
      </c>
      <c r="C65" s="24">
        <v>-13</v>
      </c>
      <c r="D65" s="24">
        <v>7</v>
      </c>
      <c r="E65" s="24">
        <f>-10+2</f>
        <v>-8</v>
      </c>
      <c r="F65" s="24">
        <v>-4</v>
      </c>
      <c r="G65" s="24">
        <v>-1</v>
      </c>
      <c r="H65" s="24">
        <v>3</v>
      </c>
      <c r="I65" s="24">
        <v>2</v>
      </c>
      <c r="J65" s="24">
        <v>0</v>
      </c>
      <c r="K65" s="24">
        <v>-4</v>
      </c>
      <c r="L65" s="24">
        <v>-1</v>
      </c>
      <c r="M65" s="60">
        <v>-5</v>
      </c>
      <c r="N65" s="24">
        <v>-1</v>
      </c>
      <c r="O65" s="24">
        <v>-2</v>
      </c>
      <c r="P65" s="24">
        <v>-5</v>
      </c>
      <c r="Q65" s="60">
        <f>R65-SUM(N65:P65)</f>
        <v>77</v>
      </c>
      <c r="R65" s="60">
        <f>72-3</f>
        <v>69</v>
      </c>
      <c r="S65" s="24">
        <v>0</v>
      </c>
      <c r="T65" s="24">
        <f>-2-35-1</f>
        <v>-38</v>
      </c>
      <c r="U65" s="24"/>
      <c r="V65" s="24">
        <f>IF(Province!C5=1,-Province!C20,0)</f>
        <v>-2600</v>
      </c>
      <c r="W65" s="24"/>
      <c r="X65" s="24">
        <f>SUM(T65:W65)</f>
        <v>-2638</v>
      </c>
      <c r="Y65" s="115">
        <v>0</v>
      </c>
      <c r="Z65" s="116">
        <v>0</v>
      </c>
      <c r="AA65" s="24">
        <f>SUM(X65:Z65)+S65</f>
        <v>-2638</v>
      </c>
      <c r="AB65" s="115">
        <v>0</v>
      </c>
      <c r="AC65" s="115">
        <v>0</v>
      </c>
      <c r="AD65" s="115">
        <v>0</v>
      </c>
      <c r="AE65" s="115">
        <v>0</v>
      </c>
      <c r="AF65" s="115">
        <v>0</v>
      </c>
      <c r="AG65" s="115">
        <v>0</v>
      </c>
      <c r="AH65" s="115">
        <v>0</v>
      </c>
    </row>
    <row r="66" spans="2:36">
      <c r="B66" s="90" t="s">
        <v>21</v>
      </c>
      <c r="C66" s="17">
        <f t="shared" ref="C66:L66" si="68">SUM(C63:C65)</f>
        <v>-440</v>
      </c>
      <c r="D66" s="17">
        <f t="shared" si="68"/>
        <v>-175</v>
      </c>
      <c r="E66" s="17">
        <f t="shared" si="68"/>
        <v>-487</v>
      </c>
      <c r="F66" s="17">
        <f t="shared" si="68"/>
        <v>-108</v>
      </c>
      <c r="G66" s="17">
        <f t="shared" si="68"/>
        <v>-41</v>
      </c>
      <c r="H66" s="17">
        <f t="shared" si="68"/>
        <v>254</v>
      </c>
      <c r="I66" s="17">
        <f t="shared" si="68"/>
        <v>619</v>
      </c>
      <c r="J66" s="17">
        <f t="shared" si="68"/>
        <v>817</v>
      </c>
      <c r="K66" s="17">
        <f t="shared" si="68"/>
        <v>67</v>
      </c>
      <c r="L66" s="17">
        <f t="shared" si="68"/>
        <v>117</v>
      </c>
      <c r="M66" s="94">
        <f t="shared" ref="M66:AH66" si="69">SUM(M63:M65)</f>
        <v>351</v>
      </c>
      <c r="N66" s="17">
        <f t="shared" si="69"/>
        <v>-41</v>
      </c>
      <c r="O66" s="17">
        <f t="shared" si="69"/>
        <v>441</v>
      </c>
      <c r="P66" s="17">
        <f t="shared" si="69"/>
        <v>-60</v>
      </c>
      <c r="Q66" s="94">
        <f t="shared" si="69"/>
        <v>-735</v>
      </c>
      <c r="R66" s="94">
        <f t="shared" si="69"/>
        <v>-395</v>
      </c>
      <c r="S66" s="96">
        <f t="shared" si="69"/>
        <v>4</v>
      </c>
      <c r="T66" s="17">
        <f t="shared" si="69"/>
        <v>282</v>
      </c>
      <c r="U66" s="17"/>
      <c r="V66" s="17">
        <f>SUM(V63:V65)</f>
        <v>0</v>
      </c>
      <c r="W66" s="17">
        <f>SUM(W63:W65)</f>
        <v>800</v>
      </c>
      <c r="X66" s="17">
        <f>SUM(X63:X65)</f>
        <v>1082</v>
      </c>
      <c r="Y66" s="96">
        <f>SUM(Y63:Y65)</f>
        <v>163.76490000000001</v>
      </c>
      <c r="Z66" s="94">
        <f t="shared" si="69"/>
        <v>29.203979812499938</v>
      </c>
      <c r="AA66" s="96">
        <f>SUM(AA63:AA65)</f>
        <v>1278.9688798124994</v>
      </c>
      <c r="AB66" s="96">
        <f t="shared" si="69"/>
        <v>-52.463075862342976</v>
      </c>
      <c r="AC66" s="96">
        <f t="shared" si="69"/>
        <v>-114.11300982532271</v>
      </c>
      <c r="AD66" s="96">
        <f t="shared" si="69"/>
        <v>-170.44404846638031</v>
      </c>
      <c r="AE66" s="96">
        <f t="shared" si="69"/>
        <v>-230.22594859140941</v>
      </c>
      <c r="AF66" s="96">
        <f t="shared" si="69"/>
        <v>-292.52074669513036</v>
      </c>
      <c r="AG66" s="96">
        <f t="shared" si="69"/>
        <v>-313.33147122960327</v>
      </c>
      <c r="AH66" s="96">
        <f t="shared" si="69"/>
        <v>-359.238147663973</v>
      </c>
    </row>
    <row r="67" spans="2:36">
      <c r="M67" s="59"/>
      <c r="Q67" s="59"/>
      <c r="R67" s="59"/>
      <c r="S67" s="22"/>
      <c r="Y67" s="22"/>
      <c r="Z67" s="59"/>
      <c r="AA67" s="22"/>
      <c r="AB67" s="22"/>
      <c r="AC67" s="22"/>
      <c r="AD67" s="22"/>
      <c r="AE67" s="22"/>
      <c r="AF67" s="22"/>
      <c r="AG67" s="22"/>
      <c r="AH67" s="22"/>
    </row>
    <row r="68" spans="2:36">
      <c r="B68" s="87" t="s">
        <v>22</v>
      </c>
      <c r="C68" s="5">
        <v>-597</v>
      </c>
      <c r="D68" s="5">
        <v>-727</v>
      </c>
      <c r="E68" s="5">
        <v>-691</v>
      </c>
      <c r="F68" s="5">
        <v>-823</v>
      </c>
      <c r="G68" s="5">
        <v>-1091</v>
      </c>
      <c r="H68" s="5">
        <f>-1185-99</f>
        <v>-1284</v>
      </c>
      <c r="I68" s="5">
        <f>-1473-93</f>
        <v>-1566</v>
      </c>
      <c r="J68" s="5">
        <f>-1557-13</f>
        <v>-1570</v>
      </c>
      <c r="K68" s="5">
        <f>-1371-76</f>
        <v>-1447</v>
      </c>
      <c r="L68" s="5">
        <f>-1373-90</f>
        <v>-1463</v>
      </c>
      <c r="M68" s="59">
        <f>-1333-79</f>
        <v>-1412</v>
      </c>
      <c r="N68" s="5">
        <f>-287-5</f>
        <v>-292</v>
      </c>
      <c r="O68" s="5">
        <f>-357-10</f>
        <v>-367</v>
      </c>
      <c r="P68" s="5">
        <f>-376-1-66</f>
        <v>-443</v>
      </c>
      <c r="Q68" s="59">
        <f>R68-SUM(N68:P68)</f>
        <v>-402</v>
      </c>
      <c r="R68" s="59">
        <f>-1481-23</f>
        <v>-1504</v>
      </c>
      <c r="S68" s="22">
        <f>-339-5</f>
        <v>-344</v>
      </c>
      <c r="T68" s="5">
        <f>-418-4</f>
        <v>-422</v>
      </c>
      <c r="W68" s="5">
        <f>IF(Province!C7=1,-800,0)</f>
        <v>-800</v>
      </c>
      <c r="X68" s="5">
        <f>SUM(T68:W68)</f>
        <v>-1222</v>
      </c>
      <c r="Y68" s="22">
        <f>Y179</f>
        <v>-395</v>
      </c>
      <c r="Z68" s="59">
        <f>Z179</f>
        <v>-395</v>
      </c>
      <c r="AA68" s="22">
        <f>SUM(X68:Z68)+S68</f>
        <v>-2356</v>
      </c>
      <c r="AB68" s="22">
        <f t="shared" ref="AB68:AH68" si="70">AB179</f>
        <v>-1535</v>
      </c>
      <c r="AC68" s="22">
        <f t="shared" si="70"/>
        <v>-1522</v>
      </c>
      <c r="AD68" s="22">
        <f t="shared" si="70"/>
        <v>-1517</v>
      </c>
      <c r="AE68" s="22">
        <f t="shared" si="70"/>
        <v>-1514</v>
      </c>
      <c r="AF68" s="22">
        <f t="shared" si="70"/>
        <v>-1514</v>
      </c>
      <c r="AG68" s="22">
        <f t="shared" si="70"/>
        <v>-1514</v>
      </c>
      <c r="AH68" s="22">
        <f t="shared" si="70"/>
        <v>-1514</v>
      </c>
    </row>
    <row r="69" spans="2:36">
      <c r="B69" s="87" t="s">
        <v>3</v>
      </c>
      <c r="C69" s="24">
        <v>3</v>
      </c>
      <c r="D69" s="24">
        <v>19</v>
      </c>
      <c r="E69" s="24">
        <v>9</v>
      </c>
      <c r="F69" s="24">
        <v>2</v>
      </c>
      <c r="G69" s="24">
        <v>8</v>
      </c>
      <c r="H69" s="24">
        <v>6</v>
      </c>
      <c r="I69" s="24">
        <v>13</v>
      </c>
      <c r="J69" s="24">
        <f>-250+37</f>
        <v>-213</v>
      </c>
      <c r="K69" s="24">
        <v>29</v>
      </c>
      <c r="L69" s="24">
        <v>19</v>
      </c>
      <c r="M69" s="60">
        <v>27</v>
      </c>
      <c r="N69" s="24">
        <v>0</v>
      </c>
      <c r="O69" s="24">
        <v>-1</v>
      </c>
      <c r="P69" s="24">
        <v>-1</v>
      </c>
      <c r="Q69" s="60">
        <f>R69-SUM(N69:P69)</f>
        <v>180</v>
      </c>
      <c r="R69" s="60">
        <f>-66+250-6</f>
        <v>178</v>
      </c>
      <c r="S69" s="24">
        <v>-5</v>
      </c>
      <c r="T69" s="24">
        <v>-58</v>
      </c>
      <c r="U69" s="24"/>
      <c r="V69" s="24">
        <f>IF(Province!C7=1,-200,0)</f>
        <v>-200</v>
      </c>
      <c r="W69" s="24"/>
      <c r="X69" s="24">
        <f>X70-X68</f>
        <v>-424</v>
      </c>
      <c r="Y69" s="115">
        <v>0</v>
      </c>
      <c r="Z69" s="116">
        <v>0</v>
      </c>
      <c r="AA69" s="24">
        <f>SUM(X69:Z69)+S69</f>
        <v>-429</v>
      </c>
      <c r="AB69" s="115">
        <v>0</v>
      </c>
      <c r="AC69" s="115">
        <v>0</v>
      </c>
      <c r="AD69" s="115">
        <v>0</v>
      </c>
      <c r="AE69" s="115">
        <v>0</v>
      </c>
      <c r="AF69" s="115">
        <v>0</v>
      </c>
      <c r="AG69" s="115">
        <v>0</v>
      </c>
      <c r="AH69" s="115">
        <v>0</v>
      </c>
    </row>
    <row r="70" spans="2:36">
      <c r="B70" s="90" t="s">
        <v>23</v>
      </c>
      <c r="C70" s="17">
        <f t="shared" ref="C70:L70" si="71">C68+C69</f>
        <v>-594</v>
      </c>
      <c r="D70" s="17">
        <f t="shared" si="71"/>
        <v>-708</v>
      </c>
      <c r="E70" s="17">
        <f t="shared" si="71"/>
        <v>-682</v>
      </c>
      <c r="F70" s="17">
        <f t="shared" si="71"/>
        <v>-821</v>
      </c>
      <c r="G70" s="17">
        <f t="shared" si="71"/>
        <v>-1083</v>
      </c>
      <c r="H70" s="17">
        <f t="shared" si="71"/>
        <v>-1278</v>
      </c>
      <c r="I70" s="17">
        <f t="shared" si="71"/>
        <v>-1553</v>
      </c>
      <c r="J70" s="17">
        <f t="shared" si="71"/>
        <v>-1783</v>
      </c>
      <c r="K70" s="17">
        <f t="shared" si="71"/>
        <v>-1418</v>
      </c>
      <c r="L70" s="17">
        <f t="shared" si="71"/>
        <v>-1444</v>
      </c>
      <c r="M70" s="94">
        <f t="shared" ref="M70:AH70" si="72">M68+M69</f>
        <v>-1385</v>
      </c>
      <c r="N70" s="17">
        <f t="shared" si="72"/>
        <v>-292</v>
      </c>
      <c r="O70" s="17">
        <f t="shared" si="72"/>
        <v>-368</v>
      </c>
      <c r="P70" s="17">
        <f t="shared" si="72"/>
        <v>-444</v>
      </c>
      <c r="Q70" s="94">
        <f t="shared" si="72"/>
        <v>-222</v>
      </c>
      <c r="R70" s="94">
        <f t="shared" si="72"/>
        <v>-1326</v>
      </c>
      <c r="S70" s="96">
        <f t="shared" si="72"/>
        <v>-349</v>
      </c>
      <c r="T70" s="17">
        <f t="shared" si="72"/>
        <v>-480</v>
      </c>
      <c r="U70" s="17"/>
      <c r="V70" s="17">
        <f>SUM(V68:V69)</f>
        <v>-200</v>
      </c>
      <c r="W70" s="17">
        <f>SUM(W68:W69)</f>
        <v>-800</v>
      </c>
      <c r="X70" s="17">
        <f>X72-X66-X61</f>
        <v>-1646</v>
      </c>
      <c r="Y70" s="96">
        <f t="shared" si="72"/>
        <v>-395</v>
      </c>
      <c r="Z70" s="94">
        <f t="shared" si="72"/>
        <v>-395</v>
      </c>
      <c r="AA70" s="96">
        <f>AA68+AA69</f>
        <v>-2785</v>
      </c>
      <c r="AB70" s="96">
        <f t="shared" si="72"/>
        <v>-1535</v>
      </c>
      <c r="AC70" s="96">
        <f t="shared" si="72"/>
        <v>-1522</v>
      </c>
      <c r="AD70" s="96">
        <f t="shared" si="72"/>
        <v>-1517</v>
      </c>
      <c r="AE70" s="96">
        <f t="shared" si="72"/>
        <v>-1514</v>
      </c>
      <c r="AF70" s="96">
        <f t="shared" si="72"/>
        <v>-1514</v>
      </c>
      <c r="AG70" s="96">
        <f t="shared" si="72"/>
        <v>-1514</v>
      </c>
      <c r="AH70" s="96">
        <f t="shared" si="72"/>
        <v>-1514</v>
      </c>
    </row>
    <row r="71" spans="2:36">
      <c r="M71" s="59"/>
      <c r="Q71" s="59"/>
      <c r="R71" s="59"/>
      <c r="S71" s="22"/>
      <c r="Y71" s="22"/>
      <c r="Z71" s="59"/>
      <c r="AA71" s="22"/>
      <c r="AB71" s="22"/>
      <c r="AC71" s="22"/>
      <c r="AD71" s="22"/>
      <c r="AE71" s="22"/>
      <c r="AF71" s="22"/>
      <c r="AG71" s="22"/>
      <c r="AH71" s="22"/>
    </row>
    <row r="72" spans="2:36">
      <c r="B72" s="87" t="s">
        <v>24</v>
      </c>
      <c r="C72" s="5">
        <f t="shared" ref="C72:L72" si="73">C61+C66+C70</f>
        <v>-2</v>
      </c>
      <c r="D72" s="5">
        <f t="shared" si="73"/>
        <v>28</v>
      </c>
      <c r="E72" s="5">
        <f t="shared" si="73"/>
        <v>0</v>
      </c>
      <c r="F72" s="5">
        <f t="shared" si="73"/>
        <v>-20</v>
      </c>
      <c r="G72" s="5">
        <f t="shared" si="73"/>
        <v>17</v>
      </c>
      <c r="H72" s="5">
        <f t="shared" si="73"/>
        <v>28</v>
      </c>
      <c r="I72" s="5">
        <f t="shared" si="73"/>
        <v>-42</v>
      </c>
      <c r="J72" s="5">
        <f t="shared" si="73"/>
        <v>198</v>
      </c>
      <c r="K72" s="5">
        <f t="shared" si="73"/>
        <v>56</v>
      </c>
      <c r="L72" s="5">
        <f t="shared" si="73"/>
        <v>-33</v>
      </c>
      <c r="M72" s="59">
        <f t="shared" ref="M72:R72" si="74">M61+M66+M70</f>
        <v>370</v>
      </c>
      <c r="N72" s="5">
        <f t="shared" si="74"/>
        <v>-184</v>
      </c>
      <c r="O72" s="5">
        <f>O61+O66+O70</f>
        <v>258</v>
      </c>
      <c r="P72" s="5">
        <f t="shared" si="74"/>
        <v>-61</v>
      </c>
      <c r="Q72" s="59">
        <f t="shared" si="74"/>
        <v>-478</v>
      </c>
      <c r="R72" s="59">
        <f t="shared" si="74"/>
        <v>-465</v>
      </c>
      <c r="S72" s="22">
        <f t="shared" ref="S72:Z72" si="75">S61+S66+S70</f>
        <v>81</v>
      </c>
      <c r="T72" s="5">
        <f t="shared" si="75"/>
        <v>89</v>
      </c>
      <c r="V72" s="5">
        <f>V70+V66+V61</f>
        <v>-200</v>
      </c>
      <c r="W72" s="5">
        <f>W70+W66+W61</f>
        <v>-9</v>
      </c>
      <c r="X72" s="5">
        <f>X75-X73</f>
        <v>-261</v>
      </c>
      <c r="Y72" s="22">
        <f>Y61+Y66+Y70</f>
        <v>0</v>
      </c>
      <c r="Z72" s="59">
        <f t="shared" si="75"/>
        <v>0</v>
      </c>
      <c r="AA72" s="22">
        <f t="shared" ref="AA72:AH72" si="76">AA61+AA66+AA70</f>
        <v>-180.00000000000045</v>
      </c>
      <c r="AB72" s="22">
        <f t="shared" si="76"/>
        <v>0</v>
      </c>
      <c r="AC72" s="22">
        <f t="shared" si="76"/>
        <v>0</v>
      </c>
      <c r="AD72" s="22">
        <f t="shared" si="76"/>
        <v>0</v>
      </c>
      <c r="AE72" s="22">
        <f t="shared" si="76"/>
        <v>0</v>
      </c>
      <c r="AF72" s="22">
        <f t="shared" si="76"/>
        <v>0</v>
      </c>
      <c r="AG72" s="22">
        <f t="shared" si="76"/>
        <v>0</v>
      </c>
      <c r="AH72" s="22">
        <f t="shared" si="76"/>
        <v>0</v>
      </c>
    </row>
    <row r="73" spans="2:36">
      <c r="B73" s="87" t="s">
        <v>25</v>
      </c>
      <c r="C73" s="5">
        <v>-35</v>
      </c>
      <c r="D73" s="5">
        <f t="shared" ref="D73:L73" si="77">C75</f>
        <v>-37</v>
      </c>
      <c r="E73" s="5">
        <f t="shared" si="77"/>
        <v>-9</v>
      </c>
      <c r="F73" s="5">
        <f t="shared" si="77"/>
        <v>-9</v>
      </c>
      <c r="G73" s="5">
        <f t="shared" si="77"/>
        <v>-29</v>
      </c>
      <c r="H73" s="5">
        <f t="shared" si="77"/>
        <v>-12</v>
      </c>
      <c r="I73" s="5">
        <f t="shared" si="77"/>
        <v>16</v>
      </c>
      <c r="J73" s="5">
        <f t="shared" si="77"/>
        <v>-26</v>
      </c>
      <c r="K73" s="5">
        <f t="shared" si="77"/>
        <v>172</v>
      </c>
      <c r="L73" s="5">
        <f t="shared" si="77"/>
        <v>228</v>
      </c>
      <c r="M73" s="59">
        <f>L75</f>
        <v>195</v>
      </c>
      <c r="N73" s="5">
        <f>M75</f>
        <v>565</v>
      </c>
      <c r="O73" s="5">
        <f>N75</f>
        <v>381</v>
      </c>
      <c r="P73" s="5">
        <f>O75</f>
        <v>639</v>
      </c>
      <c r="Q73" s="59">
        <f>P75</f>
        <v>578</v>
      </c>
      <c r="R73" s="59">
        <v>565</v>
      </c>
      <c r="S73" s="22">
        <f t="shared" ref="S73:AH73" si="78">R75</f>
        <v>100</v>
      </c>
      <c r="T73" s="5">
        <f t="shared" si="78"/>
        <v>181</v>
      </c>
      <c r="X73" s="5">
        <f>T75</f>
        <v>270</v>
      </c>
      <c r="Y73" s="22">
        <f>X75</f>
        <v>9</v>
      </c>
      <c r="Z73" s="59">
        <f t="shared" si="78"/>
        <v>9</v>
      </c>
      <c r="AA73" s="117">
        <v>189</v>
      </c>
      <c r="AB73" s="22">
        <f>AA75</f>
        <v>8.9999999999995453</v>
      </c>
      <c r="AC73" s="22">
        <f t="shared" si="78"/>
        <v>8.9999999999995453</v>
      </c>
      <c r="AD73" s="22">
        <f t="shared" si="78"/>
        <v>8.9999999999995453</v>
      </c>
      <c r="AE73" s="22">
        <f t="shared" si="78"/>
        <v>8.9999999999995453</v>
      </c>
      <c r="AF73" s="22">
        <f t="shared" si="78"/>
        <v>8.9999999999995453</v>
      </c>
      <c r="AG73" s="22">
        <f t="shared" si="78"/>
        <v>8.9999999999995453</v>
      </c>
      <c r="AH73" s="22">
        <f t="shared" si="78"/>
        <v>8.9999999999995453</v>
      </c>
    </row>
    <row r="74" spans="2:36">
      <c r="M74" s="59"/>
      <c r="Q74" s="59"/>
      <c r="R74" s="59"/>
      <c r="S74" s="22"/>
      <c r="Y74" s="22"/>
      <c r="Z74" s="59"/>
      <c r="AA74" s="22"/>
      <c r="AB74" s="22"/>
      <c r="AC74" s="22"/>
      <c r="AD74" s="22"/>
      <c r="AE74" s="22"/>
      <c r="AF74" s="22"/>
      <c r="AG74" s="22"/>
      <c r="AH74" s="22"/>
    </row>
    <row r="75" spans="2:36" ht="12.75" thickBot="1">
      <c r="B75" s="90" t="s">
        <v>26</v>
      </c>
      <c r="C75" s="36">
        <f t="shared" ref="C75:L75" si="79">C72+C73</f>
        <v>-37</v>
      </c>
      <c r="D75" s="36">
        <f t="shared" si="79"/>
        <v>-9</v>
      </c>
      <c r="E75" s="36">
        <f t="shared" si="79"/>
        <v>-9</v>
      </c>
      <c r="F75" s="36">
        <f t="shared" si="79"/>
        <v>-29</v>
      </c>
      <c r="G75" s="36">
        <f t="shared" si="79"/>
        <v>-12</v>
      </c>
      <c r="H75" s="36">
        <f t="shared" si="79"/>
        <v>16</v>
      </c>
      <c r="I75" s="36">
        <f t="shared" si="79"/>
        <v>-26</v>
      </c>
      <c r="J75" s="36">
        <f t="shared" si="79"/>
        <v>172</v>
      </c>
      <c r="K75" s="36">
        <f t="shared" si="79"/>
        <v>228</v>
      </c>
      <c r="L75" s="36">
        <f t="shared" si="79"/>
        <v>195</v>
      </c>
      <c r="M75" s="106">
        <f t="shared" ref="M75:S75" si="80">M72+M73</f>
        <v>565</v>
      </c>
      <c r="N75" s="36">
        <f t="shared" si="80"/>
        <v>381</v>
      </c>
      <c r="O75" s="36">
        <f t="shared" si="80"/>
        <v>639</v>
      </c>
      <c r="P75" s="36">
        <f t="shared" si="80"/>
        <v>578</v>
      </c>
      <c r="Q75" s="106">
        <f t="shared" si="80"/>
        <v>100</v>
      </c>
      <c r="R75" s="106">
        <f t="shared" si="80"/>
        <v>100</v>
      </c>
      <c r="S75" s="36">
        <f t="shared" si="80"/>
        <v>181</v>
      </c>
      <c r="T75" s="36">
        <f t="shared" ref="T75:AH75" si="81">T72+T73</f>
        <v>270</v>
      </c>
      <c r="U75" s="36"/>
      <c r="V75" s="36">
        <f>V72</f>
        <v>-200</v>
      </c>
      <c r="W75" s="36">
        <f>W72</f>
        <v>-9</v>
      </c>
      <c r="X75" s="36">
        <f>X80</f>
        <v>9</v>
      </c>
      <c r="Y75" s="36">
        <f>Y72+Y73</f>
        <v>9</v>
      </c>
      <c r="Z75" s="106">
        <f t="shared" si="81"/>
        <v>9</v>
      </c>
      <c r="AA75" s="36">
        <f>AA72+AA73</f>
        <v>8.9999999999995453</v>
      </c>
      <c r="AB75" s="36">
        <f t="shared" si="81"/>
        <v>8.9999999999995453</v>
      </c>
      <c r="AC75" s="36">
        <f t="shared" si="81"/>
        <v>8.9999999999995453</v>
      </c>
      <c r="AD75" s="36">
        <f t="shared" si="81"/>
        <v>8.9999999999995453</v>
      </c>
      <c r="AE75" s="36">
        <f t="shared" si="81"/>
        <v>8.9999999999995453</v>
      </c>
      <c r="AF75" s="36">
        <f t="shared" si="81"/>
        <v>8.9999999999995453</v>
      </c>
      <c r="AG75" s="36">
        <f t="shared" si="81"/>
        <v>8.9999999999995453</v>
      </c>
      <c r="AH75" s="36">
        <f t="shared" si="81"/>
        <v>8.9999999999995453</v>
      </c>
    </row>
    <row r="76" spans="2:36" ht="12.75" thickTop="1">
      <c r="M76" s="59"/>
      <c r="Q76" s="59"/>
      <c r="R76" s="59"/>
      <c r="S76" s="22"/>
      <c r="Y76" s="22"/>
      <c r="Z76" s="59"/>
      <c r="AA76" s="22"/>
      <c r="AB76" s="22"/>
      <c r="AC76" s="22"/>
      <c r="AD76" s="22"/>
      <c r="AE76" s="22"/>
      <c r="AF76" s="22"/>
      <c r="AG76" s="22"/>
      <c r="AH76" s="22"/>
    </row>
    <row r="77" spans="2:36">
      <c r="B77" s="299" t="s">
        <v>51</v>
      </c>
      <c r="C77" s="290"/>
      <c r="D77" s="290"/>
      <c r="E77" s="290"/>
      <c r="F77" s="290"/>
      <c r="G77" s="290"/>
      <c r="H77" s="290"/>
      <c r="I77" s="290"/>
      <c r="J77" s="290"/>
      <c r="K77" s="290"/>
      <c r="L77" s="290"/>
      <c r="M77" s="291"/>
      <c r="N77" s="292"/>
      <c r="O77" s="292"/>
      <c r="P77" s="292"/>
      <c r="Q77" s="293"/>
      <c r="R77" s="294"/>
      <c r="S77" s="295"/>
      <c r="T77" s="292"/>
      <c r="U77" s="298"/>
      <c r="V77" s="298"/>
      <c r="W77" s="298"/>
      <c r="X77" s="296"/>
      <c r="Y77" s="296"/>
      <c r="Z77" s="297"/>
      <c r="AA77" s="296"/>
      <c r="AB77" s="296"/>
      <c r="AC77" s="296"/>
      <c r="AD77" s="296"/>
      <c r="AE77" s="296"/>
      <c r="AF77" s="296"/>
      <c r="AG77" s="296"/>
      <c r="AH77" s="296"/>
    </row>
    <row r="78" spans="2:36">
      <c r="D78" s="42"/>
      <c r="E78" s="42"/>
      <c r="F78" s="42"/>
      <c r="G78" s="42"/>
      <c r="H78" s="42"/>
      <c r="I78" s="42"/>
      <c r="J78" s="42"/>
      <c r="K78" s="42"/>
      <c r="L78" s="42"/>
      <c r="M78" s="59"/>
      <c r="Q78" s="59"/>
      <c r="R78" s="59"/>
      <c r="S78" s="22"/>
      <c r="Y78" s="22"/>
      <c r="Z78" s="59"/>
      <c r="AA78" s="22"/>
      <c r="AB78" s="22"/>
      <c r="AC78" s="22"/>
      <c r="AD78" s="22"/>
      <c r="AE78" s="22"/>
      <c r="AF78" s="22"/>
      <c r="AG78" s="22"/>
      <c r="AH78" s="22"/>
    </row>
    <row r="79" spans="2:36">
      <c r="B79" s="90" t="s">
        <v>28</v>
      </c>
      <c r="M79" s="59"/>
      <c r="Q79" s="59"/>
      <c r="R79" s="59"/>
      <c r="S79" s="22"/>
      <c r="Y79" s="22"/>
      <c r="Z79" s="59"/>
      <c r="AA79" s="22"/>
      <c r="AB79" s="22"/>
      <c r="AC79" s="22"/>
      <c r="AD79" s="22"/>
      <c r="AE79" s="22"/>
      <c r="AF79" s="22"/>
      <c r="AG79" s="22"/>
      <c r="AH79" s="22"/>
    </row>
    <row r="80" spans="2:36">
      <c r="B80" s="87" t="s">
        <v>29</v>
      </c>
      <c r="C80" s="5">
        <f t="shared" ref="C80:L80" si="82">C75</f>
        <v>-37</v>
      </c>
      <c r="D80" s="5">
        <f t="shared" si="82"/>
        <v>-9</v>
      </c>
      <c r="E80" s="5">
        <f t="shared" si="82"/>
        <v>-9</v>
      </c>
      <c r="F80" s="5">
        <f t="shared" si="82"/>
        <v>-29</v>
      </c>
      <c r="G80" s="5">
        <f t="shared" si="82"/>
        <v>-12</v>
      </c>
      <c r="H80" s="5">
        <f t="shared" si="82"/>
        <v>16</v>
      </c>
      <c r="I80" s="5">
        <f t="shared" si="82"/>
        <v>-26</v>
      </c>
      <c r="J80" s="5">
        <f t="shared" si="82"/>
        <v>172</v>
      </c>
      <c r="K80" s="5">
        <f t="shared" si="82"/>
        <v>228</v>
      </c>
      <c r="L80" s="5">
        <f t="shared" si="82"/>
        <v>195</v>
      </c>
      <c r="M80" s="59">
        <f t="shared" ref="M80:S80" si="83">M75</f>
        <v>565</v>
      </c>
      <c r="N80" s="5">
        <f t="shared" si="83"/>
        <v>381</v>
      </c>
      <c r="O80" s="5">
        <f t="shared" si="83"/>
        <v>639</v>
      </c>
      <c r="P80" s="5">
        <f t="shared" si="83"/>
        <v>578</v>
      </c>
      <c r="Q80" s="59">
        <f t="shared" si="83"/>
        <v>100</v>
      </c>
      <c r="R80" s="59">
        <f t="shared" si="83"/>
        <v>100</v>
      </c>
      <c r="S80" s="22">
        <f t="shared" si="83"/>
        <v>181</v>
      </c>
      <c r="T80" s="5">
        <f>T75</f>
        <v>270</v>
      </c>
      <c r="U80" s="5">
        <f>-28-24</f>
        <v>-52</v>
      </c>
      <c r="V80" s="5">
        <f>V75</f>
        <v>-200</v>
      </c>
      <c r="W80" s="5">
        <f>W75</f>
        <v>-9</v>
      </c>
      <c r="X80" s="5">
        <f>SUM(T80:W80)</f>
        <v>9</v>
      </c>
      <c r="Y80" s="22">
        <f>X80</f>
        <v>9</v>
      </c>
      <c r="Z80" s="59">
        <f>Y80</f>
        <v>9</v>
      </c>
      <c r="AA80" s="22">
        <f>Z80</f>
        <v>9</v>
      </c>
      <c r="AB80" s="22">
        <f t="shared" ref="AB80:AH80" si="84">AA80</f>
        <v>9</v>
      </c>
      <c r="AC80" s="22">
        <f t="shared" si="84"/>
        <v>9</v>
      </c>
      <c r="AD80" s="22">
        <f t="shared" si="84"/>
        <v>9</v>
      </c>
      <c r="AE80" s="22">
        <f t="shared" si="84"/>
        <v>9</v>
      </c>
      <c r="AF80" s="22">
        <f t="shared" si="84"/>
        <v>9</v>
      </c>
      <c r="AG80" s="22">
        <f t="shared" si="84"/>
        <v>9</v>
      </c>
      <c r="AH80" s="22">
        <f t="shared" si="84"/>
        <v>9</v>
      </c>
      <c r="AJ80" s="31"/>
    </row>
    <row r="81" spans="2:36">
      <c r="B81" s="87" t="s">
        <v>30</v>
      </c>
      <c r="C81" s="22">
        <v>616</v>
      </c>
      <c r="D81" s="22">
        <v>707</v>
      </c>
      <c r="E81" s="22">
        <v>628</v>
      </c>
      <c r="F81" s="22">
        <v>777</v>
      </c>
      <c r="G81" s="22">
        <v>759</v>
      </c>
      <c r="H81" s="22">
        <v>754</v>
      </c>
      <c r="I81" s="22">
        <v>843</v>
      </c>
      <c r="J81" s="22">
        <v>911</v>
      </c>
      <c r="K81" s="22">
        <v>961</v>
      </c>
      <c r="L81" s="22">
        <v>999</v>
      </c>
      <c r="M81" s="59">
        <v>1120</v>
      </c>
      <c r="N81" s="22">
        <v>1319</v>
      </c>
      <c r="O81" s="22">
        <v>1242</v>
      </c>
      <c r="P81" s="22">
        <v>1257</v>
      </c>
      <c r="Q81" s="59">
        <v>1240</v>
      </c>
      <c r="R81" s="59">
        <v>1240</v>
      </c>
      <c r="S81" s="22">
        <v>1299</v>
      </c>
      <c r="T81" s="22">
        <v>1013</v>
      </c>
      <c r="U81" s="22">
        <v>-78</v>
      </c>
      <c r="V81" s="22"/>
      <c r="W81" s="22"/>
      <c r="X81" s="22">
        <f>SUM(T81:W81)</f>
        <v>935</v>
      </c>
      <c r="Y81" s="22">
        <f>Y11*Y222</f>
        <v>1133.7072000000001</v>
      </c>
      <c r="Z81" s="59">
        <f>Z11*Z222</f>
        <v>1177.311516</v>
      </c>
      <c r="AA81" s="22">
        <f>Z81</f>
        <v>1177.311516</v>
      </c>
      <c r="AB81" s="22">
        <f t="shared" ref="AB81:AH81" si="85">AB11*AB222</f>
        <v>1252.62385812</v>
      </c>
      <c r="AC81" s="22">
        <f t="shared" si="85"/>
        <v>1310.5931587161499</v>
      </c>
      <c r="AD81" s="22">
        <f t="shared" si="85"/>
        <v>1371.5448106130789</v>
      </c>
      <c r="AE81" s="22">
        <f t="shared" si="85"/>
        <v>1435.6387239276901</v>
      </c>
      <c r="AF81" s="22">
        <f t="shared" si="85"/>
        <v>1503.0435214492227</v>
      </c>
      <c r="AG81" s="22">
        <f t="shared" si="85"/>
        <v>1573.9370161885497</v>
      </c>
      <c r="AH81" s="22">
        <f t="shared" si="85"/>
        <v>1648.506715159732</v>
      </c>
      <c r="AJ81" s="31"/>
    </row>
    <row r="82" spans="2:36">
      <c r="B82" s="87" t="s">
        <v>3</v>
      </c>
      <c r="C82" s="24">
        <v>82</v>
      </c>
      <c r="D82" s="24">
        <v>56</v>
      </c>
      <c r="E82" s="24">
        <v>77</v>
      </c>
      <c r="F82" s="24">
        <v>219</v>
      </c>
      <c r="G82" s="24">
        <v>155</v>
      </c>
      <c r="H82" s="24">
        <v>103</v>
      </c>
      <c r="I82" s="24">
        <v>156</v>
      </c>
      <c r="J82" s="24">
        <v>106</v>
      </c>
      <c r="K82" s="24">
        <v>88</v>
      </c>
      <c r="L82" s="24">
        <v>92</v>
      </c>
      <c r="M82" s="60">
        <v>373</v>
      </c>
      <c r="N82" s="24">
        <v>467</v>
      </c>
      <c r="O82" s="24">
        <v>457</v>
      </c>
      <c r="P82" s="24">
        <v>401</v>
      </c>
      <c r="Q82" s="60">
        <v>110</v>
      </c>
      <c r="R82" s="60">
        <v>110</v>
      </c>
      <c r="S82" s="24">
        <v>123</v>
      </c>
      <c r="T82" s="24">
        <f>177+43+26+19+1+35</f>
        <v>301</v>
      </c>
      <c r="U82" s="24">
        <v>-2</v>
      </c>
      <c r="V82" s="24"/>
      <c r="W82" s="24"/>
      <c r="X82" s="24">
        <f>SUM(T82:W82)</f>
        <v>299</v>
      </c>
      <c r="Y82" s="24">
        <f>X82</f>
        <v>299</v>
      </c>
      <c r="Z82" s="60">
        <f>Y82</f>
        <v>299</v>
      </c>
      <c r="AA82" s="24">
        <f>Z82</f>
        <v>299</v>
      </c>
      <c r="AB82" s="24">
        <f t="shared" ref="AB82:AH82" si="86">AA82</f>
        <v>299</v>
      </c>
      <c r="AC82" s="24">
        <f t="shared" si="86"/>
        <v>299</v>
      </c>
      <c r="AD82" s="24">
        <f t="shared" si="86"/>
        <v>299</v>
      </c>
      <c r="AE82" s="24">
        <f t="shared" si="86"/>
        <v>299</v>
      </c>
      <c r="AF82" s="24">
        <f t="shared" si="86"/>
        <v>299</v>
      </c>
      <c r="AG82" s="24">
        <f t="shared" si="86"/>
        <v>299</v>
      </c>
      <c r="AH82" s="24">
        <f t="shared" si="86"/>
        <v>299</v>
      </c>
      <c r="AJ82" s="31"/>
    </row>
    <row r="83" spans="2:36">
      <c r="B83" s="90" t="s">
        <v>32</v>
      </c>
      <c r="C83" s="17">
        <f>SUM(C80:C82)</f>
        <v>661</v>
      </c>
      <c r="D83" s="17">
        <f t="shared" ref="D83:AH83" si="87">SUM(D80:D82)</f>
        <v>754</v>
      </c>
      <c r="E83" s="17">
        <f t="shared" si="87"/>
        <v>696</v>
      </c>
      <c r="F83" s="17">
        <f t="shared" si="87"/>
        <v>967</v>
      </c>
      <c r="G83" s="17">
        <f t="shared" si="87"/>
        <v>902</v>
      </c>
      <c r="H83" s="17">
        <f t="shared" si="87"/>
        <v>873</v>
      </c>
      <c r="I83" s="17">
        <f t="shared" si="87"/>
        <v>973</v>
      </c>
      <c r="J83" s="17">
        <f t="shared" si="87"/>
        <v>1189</v>
      </c>
      <c r="K83" s="17">
        <f t="shared" si="87"/>
        <v>1277</v>
      </c>
      <c r="L83" s="17">
        <f t="shared" si="87"/>
        <v>1286</v>
      </c>
      <c r="M83" s="94">
        <f t="shared" si="87"/>
        <v>2058</v>
      </c>
      <c r="N83" s="17">
        <f t="shared" si="87"/>
        <v>2167</v>
      </c>
      <c r="O83" s="17">
        <f t="shared" si="87"/>
        <v>2338</v>
      </c>
      <c r="P83" s="17">
        <f t="shared" si="87"/>
        <v>2236</v>
      </c>
      <c r="Q83" s="94">
        <f t="shared" si="87"/>
        <v>1450</v>
      </c>
      <c r="R83" s="94">
        <f t="shared" si="87"/>
        <v>1450</v>
      </c>
      <c r="S83" s="96">
        <f t="shared" si="87"/>
        <v>1603</v>
      </c>
      <c r="T83" s="17">
        <f t="shared" si="87"/>
        <v>1584</v>
      </c>
      <c r="U83" s="17">
        <f>SUM(U80:U82)</f>
        <v>-132</v>
      </c>
      <c r="V83" s="17"/>
      <c r="W83" s="17">
        <f>W80</f>
        <v>-9</v>
      </c>
      <c r="X83" s="17">
        <f>SUM(X80:X82)</f>
        <v>1243</v>
      </c>
      <c r="Y83" s="96">
        <f t="shared" si="87"/>
        <v>1441.7072000000001</v>
      </c>
      <c r="Z83" s="94">
        <f t="shared" si="87"/>
        <v>1485.311516</v>
      </c>
      <c r="AA83" s="96">
        <f>SUM(AA80:AA82)</f>
        <v>1485.311516</v>
      </c>
      <c r="AB83" s="96">
        <f t="shared" si="87"/>
        <v>1560.62385812</v>
      </c>
      <c r="AC83" s="96">
        <f t="shared" si="87"/>
        <v>1618.5931587161499</v>
      </c>
      <c r="AD83" s="96">
        <f t="shared" si="87"/>
        <v>1679.5448106130789</v>
      </c>
      <c r="AE83" s="96">
        <f t="shared" si="87"/>
        <v>1743.6387239276901</v>
      </c>
      <c r="AF83" s="96">
        <f t="shared" si="87"/>
        <v>1811.0435214492227</v>
      </c>
      <c r="AG83" s="96">
        <f t="shared" si="87"/>
        <v>1881.9370161885497</v>
      </c>
      <c r="AH83" s="96">
        <f t="shared" si="87"/>
        <v>1956.506715159732</v>
      </c>
      <c r="AJ83" s="31"/>
    </row>
    <row r="84" spans="2:36">
      <c r="M84" s="59"/>
      <c r="Q84" s="59"/>
      <c r="R84" s="59"/>
      <c r="S84" s="22"/>
      <c r="Y84" s="22"/>
      <c r="Z84" s="59"/>
      <c r="AA84" s="22"/>
      <c r="AB84" s="22"/>
      <c r="AC84" s="22"/>
      <c r="AD84" s="22"/>
      <c r="AE84" s="22"/>
      <c r="AF84" s="22"/>
      <c r="AG84" s="22"/>
      <c r="AH84" s="22"/>
      <c r="AJ84" s="31"/>
    </row>
    <row r="85" spans="2:36">
      <c r="B85" s="87" t="s">
        <v>33</v>
      </c>
      <c r="C85" s="22">
        <v>14362</v>
      </c>
      <c r="D85" s="22">
        <v>14940</v>
      </c>
      <c r="E85" s="22">
        <v>15553</v>
      </c>
      <c r="F85" s="22">
        <v>16238</v>
      </c>
      <c r="G85" s="22">
        <v>16743</v>
      </c>
      <c r="H85" s="22">
        <v>17334</v>
      </c>
      <c r="I85" s="22">
        <v>18407</v>
      </c>
      <c r="J85" s="22">
        <v>19767</v>
      </c>
      <c r="K85" s="22">
        <v>21008</v>
      </c>
      <c r="L85" s="22">
        <v>22650</v>
      </c>
      <c r="M85" s="59">
        <v>23820</v>
      </c>
      <c r="N85" s="22">
        <v>23992</v>
      </c>
      <c r="O85" s="22">
        <v>24331</v>
      </c>
      <c r="P85" s="22">
        <v>24696</v>
      </c>
      <c r="Q85" s="59">
        <f>R85</f>
        <v>25356</v>
      </c>
      <c r="R85" s="59">
        <v>25356</v>
      </c>
      <c r="S85" s="22">
        <v>25518</v>
      </c>
      <c r="T85" s="22">
        <v>25886</v>
      </c>
      <c r="U85" s="22">
        <v>-609</v>
      </c>
      <c r="V85" s="22"/>
      <c r="W85" s="22"/>
      <c r="X85" s="22">
        <f>SUM(T85:W85)</f>
        <v>25277</v>
      </c>
      <c r="Y85" s="22">
        <f>X85-Y179</f>
        <v>25672</v>
      </c>
      <c r="Z85" s="59">
        <f>Y85-Z179</f>
        <v>26067</v>
      </c>
      <c r="AA85" s="22">
        <f>Z85</f>
        <v>26067</v>
      </c>
      <c r="AB85" s="22">
        <f t="shared" ref="AB85:AH85" si="88">AA85-AB179</f>
        <v>27602</v>
      </c>
      <c r="AC85" s="22">
        <f t="shared" si="88"/>
        <v>29124</v>
      </c>
      <c r="AD85" s="22">
        <f t="shared" si="88"/>
        <v>30641</v>
      </c>
      <c r="AE85" s="22">
        <f t="shared" si="88"/>
        <v>32155</v>
      </c>
      <c r="AF85" s="22">
        <f t="shared" si="88"/>
        <v>33669</v>
      </c>
      <c r="AG85" s="22">
        <f t="shared" si="88"/>
        <v>35183</v>
      </c>
      <c r="AH85" s="22">
        <f t="shared" si="88"/>
        <v>36697</v>
      </c>
      <c r="AJ85" s="31"/>
    </row>
    <row r="86" spans="2:36">
      <c r="B86" s="87" t="s">
        <v>5</v>
      </c>
      <c r="C86" s="24">
        <v>-5175</v>
      </c>
      <c r="D86" s="24">
        <v>-5475</v>
      </c>
      <c r="E86" s="24">
        <v>-5818</v>
      </c>
      <c r="F86" s="24">
        <v>-6180</v>
      </c>
      <c r="G86" s="24">
        <v>-6220</v>
      </c>
      <c r="H86" s="24">
        <v>-6418</v>
      </c>
      <c r="I86" s="24">
        <v>-6815</v>
      </c>
      <c r="J86" s="24">
        <v>-7247</v>
      </c>
      <c r="K86" s="24">
        <v>-7679</v>
      </c>
      <c r="L86" s="24">
        <v>-8145</v>
      </c>
      <c r="M86" s="60">
        <v>-8615</v>
      </c>
      <c r="N86" s="24">
        <v>-8749</v>
      </c>
      <c r="O86" s="24">
        <v>-8876</v>
      </c>
      <c r="P86" s="24">
        <v>-9012</v>
      </c>
      <c r="Q86" s="60">
        <f>R86</f>
        <v>-9134</v>
      </c>
      <c r="R86" s="60">
        <v>-9134</v>
      </c>
      <c r="S86" s="24">
        <v>-9269</v>
      </c>
      <c r="T86" s="24">
        <v>-9398</v>
      </c>
      <c r="U86" s="24">
        <v>292</v>
      </c>
      <c r="V86" s="24"/>
      <c r="W86" s="24"/>
      <c r="X86" s="24">
        <f>SUM(T86:W86)</f>
        <v>-9106</v>
      </c>
      <c r="Y86" s="24">
        <f>X86+Y26</f>
        <v>-9296.66</v>
      </c>
      <c r="Z86" s="60">
        <f>Y86+Z26</f>
        <v>-9490.5609999999997</v>
      </c>
      <c r="AA86" s="24">
        <f>Z86</f>
        <v>-9490.5609999999997</v>
      </c>
      <c r="AB86" s="24">
        <f t="shared" ref="AB86:AH86" si="89">AA86+AB26</f>
        <v>-10309.019131499999</v>
      </c>
      <c r="AC86" s="24">
        <f t="shared" si="89"/>
        <v>-11163.506699449499</v>
      </c>
      <c r="AD86" s="24">
        <f t="shared" si="89"/>
        <v>-12051.730686355982</v>
      </c>
      <c r="AE86" s="24">
        <f t="shared" si="89"/>
        <v>-12971.805028708948</v>
      </c>
      <c r="AF86" s="24">
        <f t="shared" si="89"/>
        <v>-13922.021658190712</v>
      </c>
      <c r="AG86" s="24">
        <f t="shared" si="89"/>
        <v>-14900.773870840987</v>
      </c>
      <c r="AH86" s="24">
        <f t="shared" si="89"/>
        <v>-15906.546098693732</v>
      </c>
      <c r="AJ86" s="31"/>
    </row>
    <row r="87" spans="2:36">
      <c r="B87" s="87" t="s">
        <v>34</v>
      </c>
      <c r="C87" s="5">
        <f t="shared" ref="C87:L87" si="90">C85+C86</f>
        <v>9187</v>
      </c>
      <c r="D87" s="5">
        <f t="shared" si="90"/>
        <v>9465</v>
      </c>
      <c r="E87" s="5">
        <f t="shared" si="90"/>
        <v>9735</v>
      </c>
      <c r="F87" s="5">
        <f t="shared" si="90"/>
        <v>10058</v>
      </c>
      <c r="G87" s="5">
        <f t="shared" si="90"/>
        <v>10523</v>
      </c>
      <c r="H87" s="5">
        <f t="shared" si="90"/>
        <v>10916</v>
      </c>
      <c r="I87" s="5">
        <f t="shared" si="90"/>
        <v>11592</v>
      </c>
      <c r="J87" s="5">
        <f t="shared" si="90"/>
        <v>12520</v>
      </c>
      <c r="K87" s="5">
        <f t="shared" si="90"/>
        <v>13329</v>
      </c>
      <c r="L87" s="5">
        <f t="shared" si="90"/>
        <v>14505</v>
      </c>
      <c r="M87" s="59">
        <f t="shared" ref="M87:AH87" si="91">M85+M86</f>
        <v>15205</v>
      </c>
      <c r="N87" s="5">
        <f t="shared" si="91"/>
        <v>15243</v>
      </c>
      <c r="O87" s="5">
        <f t="shared" si="91"/>
        <v>15455</v>
      </c>
      <c r="P87" s="5">
        <f t="shared" si="91"/>
        <v>15684</v>
      </c>
      <c r="Q87" s="59">
        <f t="shared" si="91"/>
        <v>16222</v>
      </c>
      <c r="R87" s="59">
        <f t="shared" si="91"/>
        <v>16222</v>
      </c>
      <c r="S87" s="22">
        <f t="shared" si="91"/>
        <v>16249</v>
      </c>
      <c r="T87" s="5">
        <f>T85+T86</f>
        <v>16488</v>
      </c>
      <c r="U87" s="5">
        <f>SUM(U85:U86)</f>
        <v>-317</v>
      </c>
      <c r="X87" s="5">
        <f>X85+X86</f>
        <v>16171</v>
      </c>
      <c r="Y87" s="22">
        <f>Y85+Y86</f>
        <v>16375.34</v>
      </c>
      <c r="Z87" s="59">
        <f t="shared" si="91"/>
        <v>16576.438999999998</v>
      </c>
      <c r="AA87" s="22">
        <f>AA85+AA86</f>
        <v>16576.438999999998</v>
      </c>
      <c r="AB87" s="22">
        <f t="shared" si="91"/>
        <v>17292.980868500003</v>
      </c>
      <c r="AC87" s="22">
        <f t="shared" si="91"/>
        <v>17960.493300550501</v>
      </c>
      <c r="AD87" s="22">
        <f t="shared" si="91"/>
        <v>18589.269313644018</v>
      </c>
      <c r="AE87" s="22">
        <f t="shared" si="91"/>
        <v>19183.19497129105</v>
      </c>
      <c r="AF87" s="22">
        <f t="shared" si="91"/>
        <v>19746.978341809288</v>
      </c>
      <c r="AG87" s="22">
        <f t="shared" si="91"/>
        <v>20282.226129159011</v>
      </c>
      <c r="AH87" s="22">
        <f t="shared" si="91"/>
        <v>20790.453901306268</v>
      </c>
      <c r="AJ87" s="42"/>
    </row>
    <row r="88" spans="2:36">
      <c r="B88" s="87" t="s">
        <v>35</v>
      </c>
      <c r="C88" s="22">
        <v>278</v>
      </c>
      <c r="D88" s="22">
        <v>348</v>
      </c>
      <c r="E88" s="22">
        <v>375</v>
      </c>
      <c r="F88" s="22">
        <v>468</v>
      </c>
      <c r="G88" s="22">
        <v>622</v>
      </c>
      <c r="H88" s="22">
        <v>912</v>
      </c>
      <c r="I88" s="22">
        <v>1256</v>
      </c>
      <c r="J88" s="22">
        <v>1394</v>
      </c>
      <c r="K88" s="22">
        <v>1436</v>
      </c>
      <c r="L88" s="22">
        <v>1055</v>
      </c>
      <c r="M88" s="59">
        <v>1078</v>
      </c>
      <c r="N88" s="22">
        <v>1191</v>
      </c>
      <c r="O88" s="22">
        <v>1209</v>
      </c>
      <c r="P88" s="22">
        <v>1254</v>
      </c>
      <c r="Q88" s="59">
        <f>R88</f>
        <v>1025</v>
      </c>
      <c r="R88" s="59">
        <v>1025</v>
      </c>
      <c r="S88" s="22">
        <v>1179</v>
      </c>
      <c r="T88" s="22">
        <v>1258</v>
      </c>
      <c r="U88" s="22">
        <v>-12</v>
      </c>
      <c r="V88" s="22"/>
      <c r="W88" s="22"/>
      <c r="X88" s="22">
        <f>SUM(T88:W88)</f>
        <v>1246</v>
      </c>
      <c r="Y88" s="22">
        <f>X88</f>
        <v>1246</v>
      </c>
      <c r="Z88" s="59">
        <f>Y88</f>
        <v>1246</v>
      </c>
      <c r="AA88" s="22">
        <f t="shared" ref="AA88:AH89" si="92">Z88</f>
        <v>1246</v>
      </c>
      <c r="AB88" s="22">
        <f t="shared" si="92"/>
        <v>1246</v>
      </c>
      <c r="AC88" s="22">
        <f t="shared" si="92"/>
        <v>1246</v>
      </c>
      <c r="AD88" s="22">
        <f t="shared" si="92"/>
        <v>1246</v>
      </c>
      <c r="AE88" s="22">
        <f t="shared" si="92"/>
        <v>1246</v>
      </c>
      <c r="AF88" s="22">
        <f t="shared" si="92"/>
        <v>1246</v>
      </c>
      <c r="AG88" s="22">
        <f t="shared" si="92"/>
        <v>1246</v>
      </c>
      <c r="AH88" s="22">
        <f t="shared" si="92"/>
        <v>1246</v>
      </c>
      <c r="AJ88" s="31"/>
    </row>
    <row r="89" spans="2:36">
      <c r="B89" s="87" t="s">
        <v>3</v>
      </c>
      <c r="C89" s="24">
        <v>0</v>
      </c>
      <c r="D89" s="24">
        <v>0</v>
      </c>
      <c r="E89" s="24">
        <v>0</v>
      </c>
      <c r="F89" s="24">
        <v>0</v>
      </c>
      <c r="G89" s="24">
        <v>113</v>
      </c>
      <c r="H89" s="24">
        <v>132</v>
      </c>
      <c r="I89" s="24">
        <v>150</v>
      </c>
      <c r="J89" s="24">
        <v>139</v>
      </c>
      <c r="K89" s="24">
        <v>138</v>
      </c>
      <c r="L89" s="24">
        <v>147</v>
      </c>
      <c r="M89" s="60">
        <v>148</v>
      </c>
      <c r="N89" s="24">
        <v>148</v>
      </c>
      <c r="O89" s="24">
        <v>149</v>
      </c>
      <c r="P89" s="24">
        <v>150</v>
      </c>
      <c r="Q89" s="60">
        <f>R89</f>
        <v>154</v>
      </c>
      <c r="R89" s="60">
        <v>154</v>
      </c>
      <c r="S89" s="24">
        <v>159</v>
      </c>
      <c r="T89" s="24">
        <v>161</v>
      </c>
      <c r="U89" s="24">
        <v>-5</v>
      </c>
      <c r="V89" s="24"/>
      <c r="W89" s="24"/>
      <c r="X89" s="24">
        <f>SUM(T89:W89)</f>
        <v>156</v>
      </c>
      <c r="Y89" s="24">
        <f>X89</f>
        <v>156</v>
      </c>
      <c r="Z89" s="60">
        <f>Y89</f>
        <v>156</v>
      </c>
      <c r="AA89" s="24">
        <f t="shared" ref="AA89" si="93">Z89</f>
        <v>156</v>
      </c>
      <c r="AB89" s="27">
        <f>AA89</f>
        <v>156</v>
      </c>
      <c r="AC89" s="27">
        <f t="shared" si="92"/>
        <v>156</v>
      </c>
      <c r="AD89" s="27">
        <f t="shared" si="92"/>
        <v>156</v>
      </c>
      <c r="AE89" s="27">
        <f t="shared" si="92"/>
        <v>156</v>
      </c>
      <c r="AF89" s="27">
        <f t="shared" si="92"/>
        <v>156</v>
      </c>
      <c r="AG89" s="27">
        <f t="shared" si="92"/>
        <v>156</v>
      </c>
      <c r="AH89" s="27">
        <f t="shared" si="92"/>
        <v>156</v>
      </c>
      <c r="AJ89" s="31"/>
    </row>
    <row r="90" spans="2:36">
      <c r="B90" s="90" t="s">
        <v>36</v>
      </c>
      <c r="C90" s="17">
        <f t="shared" ref="C90:L90" si="94">C87+C88+C89</f>
        <v>9465</v>
      </c>
      <c r="D90" s="17">
        <f t="shared" si="94"/>
        <v>9813</v>
      </c>
      <c r="E90" s="17">
        <f t="shared" si="94"/>
        <v>10110</v>
      </c>
      <c r="F90" s="17">
        <f t="shared" si="94"/>
        <v>10526</v>
      </c>
      <c r="G90" s="17">
        <f t="shared" si="94"/>
        <v>11258</v>
      </c>
      <c r="H90" s="17">
        <f t="shared" si="94"/>
        <v>11960</v>
      </c>
      <c r="I90" s="17">
        <f t="shared" si="94"/>
        <v>12998</v>
      </c>
      <c r="J90" s="17">
        <f t="shared" si="94"/>
        <v>14053</v>
      </c>
      <c r="K90" s="17">
        <f t="shared" si="94"/>
        <v>14903</v>
      </c>
      <c r="L90" s="17">
        <f t="shared" si="94"/>
        <v>15707</v>
      </c>
      <c r="M90" s="94">
        <f t="shared" ref="M90:AH90" si="95">M87+M88+M89</f>
        <v>16431</v>
      </c>
      <c r="N90" s="17">
        <f t="shared" si="95"/>
        <v>16582</v>
      </c>
      <c r="O90" s="17">
        <f t="shared" si="95"/>
        <v>16813</v>
      </c>
      <c r="P90" s="17">
        <f t="shared" si="95"/>
        <v>17088</v>
      </c>
      <c r="Q90" s="94">
        <f t="shared" si="95"/>
        <v>17401</v>
      </c>
      <c r="R90" s="94">
        <f t="shared" si="95"/>
        <v>17401</v>
      </c>
      <c r="S90" s="96">
        <f t="shared" si="95"/>
        <v>17587</v>
      </c>
      <c r="T90" s="17">
        <f>T87+T88+T89</f>
        <v>17907</v>
      </c>
      <c r="U90" s="17">
        <f>SUM(U87:U89)</f>
        <v>-334</v>
      </c>
      <c r="V90" s="17"/>
      <c r="W90" s="17"/>
      <c r="X90" s="17">
        <f>X87+X88+X89</f>
        <v>17573</v>
      </c>
      <c r="Y90" s="96">
        <f>Y87+Y88+Y89</f>
        <v>17777.34</v>
      </c>
      <c r="Z90" s="94">
        <f>Z87+Z88+Z89</f>
        <v>17978.438999999998</v>
      </c>
      <c r="AA90" s="96">
        <f>AA87+AA88+AA89</f>
        <v>17978.438999999998</v>
      </c>
      <c r="AB90" s="96">
        <f t="shared" si="95"/>
        <v>18694.980868500003</v>
      </c>
      <c r="AC90" s="96">
        <f t="shared" si="95"/>
        <v>19362.493300550501</v>
      </c>
      <c r="AD90" s="96">
        <f t="shared" si="95"/>
        <v>19991.269313644018</v>
      </c>
      <c r="AE90" s="96">
        <f t="shared" si="95"/>
        <v>20585.19497129105</v>
      </c>
      <c r="AF90" s="96">
        <f t="shared" si="95"/>
        <v>21148.978341809288</v>
      </c>
      <c r="AG90" s="96">
        <f t="shared" si="95"/>
        <v>21684.226129159011</v>
      </c>
      <c r="AH90" s="96">
        <f t="shared" si="95"/>
        <v>22192.453901306268</v>
      </c>
      <c r="AJ90" s="31"/>
    </row>
    <row r="91" spans="2:36">
      <c r="M91" s="59"/>
      <c r="Q91" s="59"/>
      <c r="R91" s="59"/>
      <c r="S91" s="22"/>
      <c r="Y91" s="22"/>
      <c r="Z91" s="59"/>
      <c r="AA91" s="22"/>
      <c r="AB91" s="22"/>
      <c r="AC91" s="22"/>
      <c r="AD91" s="22"/>
      <c r="AE91" s="22"/>
      <c r="AF91" s="22"/>
      <c r="AG91" s="22"/>
      <c r="AH91" s="22"/>
      <c r="AJ91" s="31"/>
    </row>
    <row r="92" spans="2:36">
      <c r="B92" s="87" t="s">
        <v>16</v>
      </c>
      <c r="C92" s="5">
        <v>1005</v>
      </c>
      <c r="D92" s="5">
        <v>977</v>
      </c>
      <c r="E92" s="5">
        <v>849</v>
      </c>
      <c r="F92" s="5">
        <v>572</v>
      </c>
      <c r="G92" s="5">
        <v>486</v>
      </c>
      <c r="H92" s="5">
        <v>732</v>
      </c>
      <c r="I92" s="5">
        <v>1282</v>
      </c>
      <c r="J92" s="5">
        <v>1473</v>
      </c>
      <c r="K92" s="5">
        <v>1966</v>
      </c>
      <c r="L92" s="5">
        <v>3098</v>
      </c>
      <c r="M92" s="59">
        <v>2636</v>
      </c>
      <c r="N92" s="5">
        <v>2592</v>
      </c>
      <c r="O92" s="5">
        <v>2631</v>
      </c>
      <c r="P92" s="5">
        <v>2721</v>
      </c>
      <c r="Q92" s="59">
        <f>R92</f>
        <v>3200</v>
      </c>
      <c r="R92" s="59">
        <v>3200</v>
      </c>
      <c r="S92" s="22">
        <v>3214</v>
      </c>
      <c r="T92" s="5">
        <v>3170</v>
      </c>
      <c r="U92" s="5">
        <v>-1</v>
      </c>
      <c r="X92" s="5">
        <f>SUM(T92:W92)</f>
        <v>3169</v>
      </c>
      <c r="Y92" s="22">
        <f t="shared" ref="Y92:Z94" si="96">X92</f>
        <v>3169</v>
      </c>
      <c r="Z92" s="59">
        <f t="shared" si="96"/>
        <v>3169</v>
      </c>
      <c r="AA92" s="22">
        <f t="shared" ref="AA92:AH92" si="97">Z92</f>
        <v>3169</v>
      </c>
      <c r="AB92" s="22">
        <f t="shared" si="97"/>
        <v>3169</v>
      </c>
      <c r="AC92" s="22">
        <f t="shared" si="97"/>
        <v>3169</v>
      </c>
      <c r="AD92" s="22">
        <f t="shared" si="97"/>
        <v>3169</v>
      </c>
      <c r="AE92" s="22">
        <f t="shared" si="97"/>
        <v>3169</v>
      </c>
      <c r="AF92" s="22">
        <f t="shared" si="97"/>
        <v>3169</v>
      </c>
      <c r="AG92" s="22">
        <f t="shared" si="97"/>
        <v>3169</v>
      </c>
      <c r="AH92" s="22">
        <f t="shared" si="97"/>
        <v>3169</v>
      </c>
      <c r="AJ92" s="31"/>
    </row>
    <row r="93" spans="2:36">
      <c r="B93" s="87" t="s">
        <v>80</v>
      </c>
      <c r="C93" s="5">
        <v>133</v>
      </c>
      <c r="D93" s="5">
        <v>133</v>
      </c>
      <c r="E93" s="5">
        <v>133</v>
      </c>
      <c r="F93" s="5">
        <v>133</v>
      </c>
      <c r="G93" s="5">
        <v>133</v>
      </c>
      <c r="H93" s="5">
        <v>295</v>
      </c>
      <c r="I93" s="5">
        <v>351</v>
      </c>
      <c r="J93" s="5">
        <v>330</v>
      </c>
      <c r="K93" s="5">
        <v>357</v>
      </c>
      <c r="L93" s="5">
        <v>400</v>
      </c>
      <c r="M93" s="59">
        <v>446</v>
      </c>
      <c r="N93" s="5">
        <v>437</v>
      </c>
      <c r="O93" s="5">
        <v>427</v>
      </c>
      <c r="P93" s="5">
        <v>455</v>
      </c>
      <c r="Q93" s="59">
        <v>449</v>
      </c>
      <c r="R93" s="59">
        <v>449</v>
      </c>
      <c r="S93" s="22">
        <v>441</v>
      </c>
      <c r="T93" s="5">
        <f>258+199</f>
        <v>457</v>
      </c>
      <c r="U93" s="5">
        <f>-13-60</f>
        <v>-73</v>
      </c>
      <c r="X93" s="5">
        <f>SUM(T93:W93)</f>
        <v>384</v>
      </c>
      <c r="Y93" s="22">
        <f t="shared" si="96"/>
        <v>384</v>
      </c>
      <c r="Z93" s="59">
        <f t="shared" si="96"/>
        <v>384</v>
      </c>
      <c r="AA93" s="22">
        <f t="shared" ref="AA93:AH94" si="98">Z93</f>
        <v>384</v>
      </c>
      <c r="AB93" s="22">
        <f t="shared" si="98"/>
        <v>384</v>
      </c>
      <c r="AC93" s="22">
        <f t="shared" si="98"/>
        <v>384</v>
      </c>
      <c r="AD93" s="22">
        <f t="shared" si="98"/>
        <v>384</v>
      </c>
      <c r="AE93" s="22">
        <f t="shared" si="98"/>
        <v>384</v>
      </c>
      <c r="AF93" s="22">
        <f t="shared" si="98"/>
        <v>384</v>
      </c>
      <c r="AG93" s="22">
        <f t="shared" si="98"/>
        <v>384</v>
      </c>
      <c r="AH93" s="22">
        <f t="shared" si="98"/>
        <v>384</v>
      </c>
      <c r="AJ93" s="31"/>
    </row>
    <row r="94" spans="2:36">
      <c r="B94" s="87" t="s">
        <v>3</v>
      </c>
      <c r="C94" s="5">
        <v>42</v>
      </c>
      <c r="D94" s="5">
        <v>48</v>
      </c>
      <c r="E94" s="5">
        <v>33</v>
      </c>
      <c r="F94" s="5">
        <v>36</v>
      </c>
      <c r="G94" s="5">
        <v>7</v>
      </c>
      <c r="H94" s="5">
        <v>18</v>
      </c>
      <c r="I94" s="5">
        <v>31</v>
      </c>
      <c r="J94" s="5">
        <v>277</v>
      </c>
      <c r="K94" s="5">
        <v>333</v>
      </c>
      <c r="L94" s="5">
        <v>320</v>
      </c>
      <c r="M94" s="59">
        <v>54</v>
      </c>
      <c r="N94" s="5">
        <v>56</v>
      </c>
      <c r="O94" s="5">
        <v>58</v>
      </c>
      <c r="P94" s="5">
        <v>54</v>
      </c>
      <c r="Q94" s="59">
        <v>50</v>
      </c>
      <c r="R94" s="59">
        <v>50</v>
      </c>
      <c r="S94" s="22">
        <v>47</v>
      </c>
      <c r="T94" s="5">
        <f>36+6+7</f>
        <v>49</v>
      </c>
      <c r="U94" s="5">
        <v>-1</v>
      </c>
      <c r="V94" s="5">
        <f>Tax!C42-V69</f>
        <v>1154.5610956404744</v>
      </c>
      <c r="X94" s="5">
        <f>SUM(T94:W94)</f>
        <v>1202.5610956404744</v>
      </c>
      <c r="Y94" s="22">
        <f t="shared" si="96"/>
        <v>1202.5610956404744</v>
      </c>
      <c r="Z94" s="59">
        <f t="shared" si="96"/>
        <v>1202.5610956404744</v>
      </c>
      <c r="AA94" s="22">
        <f t="shared" ref="AA94" si="99">Z94</f>
        <v>1202.5610956404744</v>
      </c>
      <c r="AB94" s="118">
        <f>AA94</f>
        <v>1202.5610956404744</v>
      </c>
      <c r="AC94" s="118">
        <f t="shared" si="98"/>
        <v>1202.5610956404744</v>
      </c>
      <c r="AD94" s="118">
        <f t="shared" si="98"/>
        <v>1202.5610956404744</v>
      </c>
      <c r="AE94" s="118">
        <f t="shared" si="98"/>
        <v>1202.5610956404744</v>
      </c>
      <c r="AF94" s="118">
        <f t="shared" si="98"/>
        <v>1202.5610956404744</v>
      </c>
      <c r="AG94" s="118">
        <f t="shared" si="98"/>
        <v>1202.5610956404744</v>
      </c>
      <c r="AH94" s="118">
        <f t="shared" si="98"/>
        <v>1202.5610956404744</v>
      </c>
      <c r="AJ94" s="31"/>
    </row>
    <row r="95" spans="2:36">
      <c r="M95" s="59"/>
      <c r="Q95" s="59"/>
      <c r="R95" s="59"/>
      <c r="S95" s="22"/>
      <c r="Y95" s="22"/>
      <c r="Z95" s="59"/>
      <c r="AA95" s="22"/>
      <c r="AB95" s="22"/>
      <c r="AC95" s="22"/>
      <c r="AD95" s="22"/>
      <c r="AE95" s="22"/>
      <c r="AF95" s="22"/>
      <c r="AG95" s="22"/>
      <c r="AH95" s="22"/>
      <c r="AJ95" s="31"/>
    </row>
    <row r="96" spans="2:36" ht="12.75" thickBot="1">
      <c r="B96" s="90" t="s">
        <v>37</v>
      </c>
      <c r="C96" s="36">
        <f>SUM(C92:C94)+C90+C83</f>
        <v>11306</v>
      </c>
      <c r="D96" s="36">
        <f t="shared" ref="D96:S96" si="100">SUM(D92:D94)+D90+D83</f>
        <v>11725</v>
      </c>
      <c r="E96" s="36">
        <f t="shared" si="100"/>
        <v>11821</v>
      </c>
      <c r="F96" s="36">
        <f t="shared" si="100"/>
        <v>12234</v>
      </c>
      <c r="G96" s="36">
        <f t="shared" si="100"/>
        <v>12786</v>
      </c>
      <c r="H96" s="36">
        <f t="shared" si="100"/>
        <v>13878</v>
      </c>
      <c r="I96" s="36">
        <f t="shared" si="100"/>
        <v>15635</v>
      </c>
      <c r="J96" s="36">
        <f t="shared" si="100"/>
        <v>17322</v>
      </c>
      <c r="K96" s="36">
        <f t="shared" si="100"/>
        <v>18836</v>
      </c>
      <c r="L96" s="36">
        <f t="shared" si="100"/>
        <v>20811</v>
      </c>
      <c r="M96" s="106">
        <f t="shared" si="100"/>
        <v>21625</v>
      </c>
      <c r="N96" s="36">
        <f t="shared" si="100"/>
        <v>21834</v>
      </c>
      <c r="O96" s="36">
        <f t="shared" si="100"/>
        <v>22267</v>
      </c>
      <c r="P96" s="36">
        <f t="shared" si="100"/>
        <v>22554</v>
      </c>
      <c r="Q96" s="106">
        <f t="shared" si="100"/>
        <v>22550</v>
      </c>
      <c r="R96" s="106">
        <f t="shared" si="100"/>
        <v>22550</v>
      </c>
      <c r="S96" s="36">
        <f t="shared" si="100"/>
        <v>22892</v>
      </c>
      <c r="T96" s="36">
        <f t="shared" ref="T96:X96" si="101">SUM(T92:T94)+T90+T83</f>
        <v>23167</v>
      </c>
      <c r="U96" s="36">
        <f>SUM(U92:U94)+U90+U83</f>
        <v>-541</v>
      </c>
      <c r="V96" s="36">
        <f>V80+V94</f>
        <v>954.56109564047438</v>
      </c>
      <c r="W96" s="36">
        <f>W83</f>
        <v>-9</v>
      </c>
      <c r="X96" s="36">
        <f t="shared" si="101"/>
        <v>23571.561095640474</v>
      </c>
      <c r="Y96" s="36">
        <f>SUM(Y92:Y94)+Y90+Y83</f>
        <v>23974.608295640475</v>
      </c>
      <c r="Z96" s="106">
        <f t="shared" ref="Z96" si="102">SUM(Z92:Z94)+Z90+Z83</f>
        <v>24219.311611640474</v>
      </c>
      <c r="AA96" s="36">
        <f>SUM(AA92:AA94)+AA90+AA83</f>
        <v>24219.311611640474</v>
      </c>
      <c r="AB96" s="36">
        <f>SUM(AB92:AB94)+AB90+AB83</f>
        <v>25011.165822260478</v>
      </c>
      <c r="AC96" s="36">
        <f t="shared" ref="AC96:AH96" si="103">SUM(AC92:AC94)+AC90+AC83</f>
        <v>25736.647554907126</v>
      </c>
      <c r="AD96" s="36">
        <f t="shared" si="103"/>
        <v>26426.375219897571</v>
      </c>
      <c r="AE96" s="36">
        <f t="shared" si="103"/>
        <v>27084.394790859216</v>
      </c>
      <c r="AF96" s="36">
        <f t="shared" si="103"/>
        <v>27715.582958898987</v>
      </c>
      <c r="AG96" s="36">
        <f t="shared" si="103"/>
        <v>28321.724240988035</v>
      </c>
      <c r="AH96" s="36">
        <f t="shared" si="103"/>
        <v>28904.521712106474</v>
      </c>
      <c r="AJ96" s="31"/>
    </row>
    <row r="97" spans="2:36" ht="12.75" thickTop="1">
      <c r="M97" s="59"/>
      <c r="Q97" s="59"/>
      <c r="R97" s="59"/>
      <c r="S97" s="22"/>
      <c r="Y97" s="22"/>
      <c r="Z97" s="59"/>
      <c r="AA97" s="22"/>
      <c r="AB97" s="22"/>
      <c r="AC97" s="22"/>
      <c r="AD97" s="22"/>
      <c r="AE97" s="22"/>
      <c r="AF97" s="22"/>
      <c r="AG97" s="22"/>
      <c r="AH97" s="22"/>
      <c r="AJ97" s="31"/>
    </row>
    <row r="98" spans="2:36">
      <c r="B98" s="90" t="s">
        <v>38</v>
      </c>
      <c r="M98" s="59"/>
      <c r="Q98" s="59"/>
      <c r="R98" s="59"/>
      <c r="S98" s="22"/>
      <c r="T98" s="31">
        <f>T87/T96</f>
        <v>0.7117019898994259</v>
      </c>
      <c r="Y98" s="22"/>
      <c r="Z98" s="59"/>
      <c r="AA98" s="22"/>
      <c r="AB98" s="22"/>
      <c r="AC98" s="22"/>
      <c r="AD98" s="22"/>
      <c r="AE98" s="22"/>
      <c r="AF98" s="22"/>
      <c r="AG98" s="22"/>
      <c r="AH98" s="22"/>
      <c r="AJ98" s="31"/>
    </row>
    <row r="99" spans="2:36">
      <c r="B99" s="87" t="s">
        <v>19</v>
      </c>
      <c r="C99" s="5">
        <f>37+25+472</f>
        <v>534</v>
      </c>
      <c r="D99" s="5">
        <f>9+539+40</f>
        <v>588</v>
      </c>
      <c r="E99" s="5">
        <f>9+589</f>
        <v>598</v>
      </c>
      <c r="F99" s="5">
        <f>395+29+60</f>
        <v>484</v>
      </c>
      <c r="G99" s="5">
        <f>12+540</f>
        <v>552</v>
      </c>
      <c r="H99" s="5">
        <v>400</v>
      </c>
      <c r="I99" s="5">
        <f>600+26+55</f>
        <v>681</v>
      </c>
      <c r="J99" s="5">
        <v>500</v>
      </c>
      <c r="K99" s="5">
        <f>39+600</f>
        <v>639</v>
      </c>
      <c r="L99" s="5">
        <f>42+600</f>
        <v>642</v>
      </c>
      <c r="M99" s="59">
        <f>31+756</f>
        <v>787</v>
      </c>
      <c r="N99" s="5">
        <f>15+754</f>
        <v>769</v>
      </c>
      <c r="O99" s="5">
        <f>35+753</f>
        <v>788</v>
      </c>
      <c r="P99" s="5">
        <f>30+1304</f>
        <v>1334</v>
      </c>
      <c r="Q99" s="59">
        <f t="shared" ref="Q99" si="104">R99</f>
        <v>554</v>
      </c>
      <c r="R99" s="59">
        <f>2+552</f>
        <v>554</v>
      </c>
      <c r="S99" s="22">
        <f>35+1002</f>
        <v>1037</v>
      </c>
      <c r="T99" s="5">
        <f>1017</f>
        <v>1017</v>
      </c>
      <c r="U99" s="5">
        <v>0</v>
      </c>
      <c r="X99" s="5">
        <f>SUM(T99:W99)</f>
        <v>1017</v>
      </c>
      <c r="Y99" s="22">
        <f>X99</f>
        <v>1017</v>
      </c>
      <c r="Z99" s="59">
        <f>Y99</f>
        <v>1017</v>
      </c>
      <c r="AA99" s="22">
        <f t="shared" ref="AA99:AH99" si="105">Z99</f>
        <v>1017</v>
      </c>
      <c r="AB99" s="22">
        <f t="shared" si="105"/>
        <v>1017</v>
      </c>
      <c r="AC99" s="22">
        <f t="shared" si="105"/>
        <v>1017</v>
      </c>
      <c r="AD99" s="22">
        <f t="shared" si="105"/>
        <v>1017</v>
      </c>
      <c r="AE99" s="22">
        <f t="shared" si="105"/>
        <v>1017</v>
      </c>
      <c r="AF99" s="22">
        <f t="shared" si="105"/>
        <v>1017</v>
      </c>
      <c r="AG99" s="22">
        <f t="shared" si="105"/>
        <v>1017</v>
      </c>
      <c r="AH99" s="22">
        <f t="shared" si="105"/>
        <v>1017</v>
      </c>
      <c r="AJ99" s="31"/>
    </row>
    <row r="100" spans="2:36">
      <c r="B100" s="87" t="s">
        <v>81</v>
      </c>
      <c r="C100" s="5">
        <v>620</v>
      </c>
      <c r="D100" s="5">
        <v>630</v>
      </c>
      <c r="E100" s="5">
        <v>700</v>
      </c>
      <c r="F100" s="5">
        <v>661</v>
      </c>
      <c r="G100" s="5">
        <v>731</v>
      </c>
      <c r="H100" s="5">
        <v>793</v>
      </c>
      <c r="I100" s="5">
        <v>800</v>
      </c>
      <c r="J100" s="5">
        <v>884</v>
      </c>
      <c r="K100" s="5">
        <v>1071</v>
      </c>
      <c r="L100" s="5">
        <v>979</v>
      </c>
      <c r="M100" s="59">
        <v>1025</v>
      </c>
      <c r="N100" s="5">
        <v>966</v>
      </c>
      <c r="O100" s="5">
        <v>905</v>
      </c>
      <c r="P100" s="5">
        <v>907</v>
      </c>
      <c r="Q100" s="59">
        <v>1014</v>
      </c>
      <c r="R100" s="59">
        <v>1014</v>
      </c>
      <c r="S100" s="22">
        <v>980</v>
      </c>
      <c r="T100" s="5">
        <f>184+639+52+99</f>
        <v>974</v>
      </c>
      <c r="U100" s="5">
        <f>-4-1-69</f>
        <v>-74</v>
      </c>
      <c r="X100" s="5">
        <f>SUM(T100:W100)</f>
        <v>900</v>
      </c>
      <c r="Y100" s="22">
        <f>Y11*Y223</f>
        <v>954.70080000000007</v>
      </c>
      <c r="Z100" s="59">
        <f>Z11*Z223</f>
        <v>991.42022400000008</v>
      </c>
      <c r="AA100" s="22">
        <f>Z100</f>
        <v>991.42022400000008</v>
      </c>
      <c r="AB100" s="22">
        <f t="shared" ref="AB100:AH100" si="106">AB11*AB223</f>
        <v>1054.84114368</v>
      </c>
      <c r="AC100" s="22">
        <f t="shared" si="106"/>
        <v>1103.6573968135999</v>
      </c>
      <c r="AD100" s="22">
        <f t="shared" si="106"/>
        <v>1154.9851036741718</v>
      </c>
      <c r="AE100" s="22">
        <f t="shared" si="106"/>
        <v>1208.9589254127918</v>
      </c>
      <c r="AF100" s="22">
        <f t="shared" si="106"/>
        <v>1265.7208601677664</v>
      </c>
      <c r="AG100" s="22">
        <f t="shared" si="106"/>
        <v>1325.4206452114104</v>
      </c>
      <c r="AH100" s="22">
        <f t="shared" si="106"/>
        <v>1388.2161811871429</v>
      </c>
      <c r="AJ100" s="31"/>
    </row>
    <row r="101" spans="2:36">
      <c r="B101" s="87" t="s">
        <v>3</v>
      </c>
      <c r="C101" s="24">
        <v>38</v>
      </c>
      <c r="D101" s="24">
        <v>44</v>
      </c>
      <c r="E101" s="24">
        <v>43</v>
      </c>
      <c r="F101" s="24">
        <v>49</v>
      </c>
      <c r="G101" s="24">
        <v>169</v>
      </c>
      <c r="H101" s="24">
        <v>107</v>
      </c>
      <c r="I101" s="24">
        <v>174</v>
      </c>
      <c r="J101" s="24">
        <v>156</v>
      </c>
      <c r="K101" s="24">
        <v>110</v>
      </c>
      <c r="L101" s="24">
        <v>135</v>
      </c>
      <c r="M101" s="60">
        <v>185</v>
      </c>
      <c r="N101" s="24">
        <v>188</v>
      </c>
      <c r="O101" s="24">
        <v>153</v>
      </c>
      <c r="P101" s="24">
        <v>172</v>
      </c>
      <c r="Q101" s="60">
        <v>147</v>
      </c>
      <c r="R101" s="60">
        <v>147</v>
      </c>
      <c r="S101" s="24">
        <v>147</v>
      </c>
      <c r="T101" s="24">
        <f>18+3</f>
        <v>21</v>
      </c>
      <c r="U101" s="24">
        <v>0</v>
      </c>
      <c r="V101" s="24"/>
      <c r="W101" s="24"/>
      <c r="X101" s="24">
        <f>SUM(T101:W101)</f>
        <v>21</v>
      </c>
      <c r="Y101" s="24">
        <f>X101</f>
        <v>21</v>
      </c>
      <c r="Z101" s="60">
        <f>Y101</f>
        <v>21</v>
      </c>
      <c r="AA101" s="24">
        <f>Z101</f>
        <v>21</v>
      </c>
      <c r="AB101" s="24">
        <f t="shared" ref="AB101:AH101" si="107">AA101</f>
        <v>21</v>
      </c>
      <c r="AC101" s="24">
        <f t="shared" si="107"/>
        <v>21</v>
      </c>
      <c r="AD101" s="24">
        <f t="shared" si="107"/>
        <v>21</v>
      </c>
      <c r="AE101" s="24">
        <f t="shared" si="107"/>
        <v>21</v>
      </c>
      <c r="AF101" s="24">
        <f t="shared" si="107"/>
        <v>21</v>
      </c>
      <c r="AG101" s="24">
        <f t="shared" si="107"/>
        <v>21</v>
      </c>
      <c r="AH101" s="24">
        <f t="shared" si="107"/>
        <v>21</v>
      </c>
      <c r="AJ101" s="31"/>
    </row>
    <row r="102" spans="2:36">
      <c r="B102" s="90" t="s">
        <v>40</v>
      </c>
      <c r="C102" s="17">
        <f t="shared" ref="C102:AH102" si="108">SUM(C99:C101)</f>
        <v>1192</v>
      </c>
      <c r="D102" s="17">
        <f t="shared" si="108"/>
        <v>1262</v>
      </c>
      <c r="E102" s="17">
        <f t="shared" si="108"/>
        <v>1341</v>
      </c>
      <c r="F102" s="17">
        <f t="shared" si="108"/>
        <v>1194</v>
      </c>
      <c r="G102" s="17">
        <f t="shared" si="108"/>
        <v>1452</v>
      </c>
      <c r="H102" s="17">
        <f t="shared" si="108"/>
        <v>1300</v>
      </c>
      <c r="I102" s="17">
        <f t="shared" si="108"/>
        <v>1655</v>
      </c>
      <c r="J102" s="17">
        <f t="shared" si="108"/>
        <v>1540</v>
      </c>
      <c r="K102" s="17">
        <f t="shared" si="108"/>
        <v>1820</v>
      </c>
      <c r="L102" s="17">
        <f t="shared" si="108"/>
        <v>1756</v>
      </c>
      <c r="M102" s="94">
        <f t="shared" si="108"/>
        <v>1997</v>
      </c>
      <c r="N102" s="17">
        <f t="shared" si="108"/>
        <v>1923</v>
      </c>
      <c r="O102" s="17">
        <f t="shared" si="108"/>
        <v>1846</v>
      </c>
      <c r="P102" s="17">
        <f t="shared" si="108"/>
        <v>2413</v>
      </c>
      <c r="Q102" s="94">
        <f t="shared" si="108"/>
        <v>1715</v>
      </c>
      <c r="R102" s="94">
        <f t="shared" si="108"/>
        <v>1715</v>
      </c>
      <c r="S102" s="96">
        <f t="shared" si="108"/>
        <v>2164</v>
      </c>
      <c r="T102" s="17">
        <f t="shared" si="108"/>
        <v>2012</v>
      </c>
      <c r="U102" s="17">
        <f>SUM(U99:U101)</f>
        <v>-74</v>
      </c>
      <c r="V102" s="17">
        <f>SUM(V99:V101)</f>
        <v>0</v>
      </c>
      <c r="W102" s="17"/>
      <c r="X102" s="17">
        <f t="shared" si="108"/>
        <v>1938</v>
      </c>
      <c r="Y102" s="96">
        <f t="shared" si="108"/>
        <v>1992.7008000000001</v>
      </c>
      <c r="Z102" s="94">
        <f t="shared" si="108"/>
        <v>2029.420224</v>
      </c>
      <c r="AA102" s="96">
        <f t="shared" si="108"/>
        <v>2029.420224</v>
      </c>
      <c r="AB102" s="96">
        <f t="shared" si="108"/>
        <v>2092.8411436799997</v>
      </c>
      <c r="AC102" s="96">
        <f t="shared" si="108"/>
        <v>2141.6573968135999</v>
      </c>
      <c r="AD102" s="96">
        <f t="shared" si="108"/>
        <v>2192.985103674172</v>
      </c>
      <c r="AE102" s="96">
        <f t="shared" si="108"/>
        <v>2246.9589254127918</v>
      </c>
      <c r="AF102" s="96">
        <f t="shared" si="108"/>
        <v>2303.7208601677667</v>
      </c>
      <c r="AG102" s="96">
        <f t="shared" si="108"/>
        <v>2363.4206452114104</v>
      </c>
      <c r="AH102" s="96">
        <f t="shared" si="108"/>
        <v>2426.2161811871429</v>
      </c>
      <c r="AJ102" s="31"/>
    </row>
    <row r="103" spans="2:36">
      <c r="M103" s="59"/>
      <c r="Q103" s="59"/>
      <c r="R103" s="59"/>
      <c r="S103" s="22"/>
      <c r="Y103" s="22"/>
      <c r="Z103" s="59"/>
      <c r="AA103" s="22"/>
      <c r="AB103" s="22"/>
      <c r="AC103" s="22"/>
      <c r="AD103" s="22"/>
      <c r="AE103" s="22"/>
      <c r="AF103" s="22"/>
      <c r="AG103" s="22"/>
      <c r="AH103" s="22"/>
      <c r="AJ103" s="31"/>
    </row>
    <row r="104" spans="2:36">
      <c r="B104" s="87" t="s">
        <v>19</v>
      </c>
      <c r="C104" s="5">
        <v>4539</v>
      </c>
      <c r="D104" s="5">
        <f>4613</f>
        <v>4613</v>
      </c>
      <c r="E104" s="5">
        <f>4466</f>
        <v>4466</v>
      </c>
      <c r="F104" s="5">
        <f>4872</f>
        <v>4872</v>
      </c>
      <c r="G104" s="5">
        <f>5063</f>
        <v>5063</v>
      </c>
      <c r="H104" s="5">
        <f>5733</f>
        <v>5733</v>
      </c>
      <c r="I104" s="5">
        <f>6281</f>
        <v>6281</v>
      </c>
      <c r="J104" s="5">
        <f>7278</f>
        <v>7278</v>
      </c>
      <c r="K104" s="5">
        <f>7408+23</f>
        <v>7431</v>
      </c>
      <c r="L104" s="5">
        <f>7879+23</f>
        <v>7902</v>
      </c>
      <c r="M104" s="59">
        <f>8301+20</f>
        <v>8321</v>
      </c>
      <c r="N104" s="5">
        <f>8475+20</f>
        <v>8495</v>
      </c>
      <c r="O104" s="5">
        <f>8927+19</f>
        <v>8946</v>
      </c>
      <c r="P104" s="5">
        <f>8373+19</f>
        <v>8392</v>
      </c>
      <c r="Q104" s="59">
        <f t="shared" ref="Q104:Q106" si="109">R104</f>
        <v>8391</v>
      </c>
      <c r="R104" s="59">
        <f>8373+18</f>
        <v>8391</v>
      </c>
      <c r="S104" s="22">
        <f>7923+18</f>
        <v>7941</v>
      </c>
      <c r="T104" s="5">
        <f>8273</f>
        <v>8273</v>
      </c>
      <c r="U104" s="5">
        <v>0</v>
      </c>
      <c r="V104" s="5">
        <f>IF(Province!C5=1,(IF(V111&gt;0,0,2600)),0)</f>
        <v>0</v>
      </c>
      <c r="W104" s="5">
        <f>W63</f>
        <v>800</v>
      </c>
      <c r="X104" s="5">
        <f>SUM(T104:W104)</f>
        <v>9073</v>
      </c>
      <c r="Y104" s="22">
        <f>X104+Y63</f>
        <v>9375.2010250000003</v>
      </c>
      <c r="Z104" s="59">
        <f>Y104+Z63</f>
        <v>9538.4899389531256</v>
      </c>
      <c r="AA104" s="22">
        <f>Z104</f>
        <v>9538.4899389531256</v>
      </c>
      <c r="AB104" s="22">
        <f t="shared" ref="AB104:AH104" si="110">AA104+AB63</f>
        <v>10071.69913819254</v>
      </c>
      <c r="AC104" s="22">
        <f t="shared" si="110"/>
        <v>10550.669995370998</v>
      </c>
      <c r="AD104" s="22">
        <f t="shared" si="110"/>
        <v>10986.858951851807</v>
      </c>
      <c r="AE104" s="22">
        <f t="shared" si="110"/>
        <v>11382.336776621225</v>
      </c>
      <c r="AF104" s="22">
        <f t="shared" si="110"/>
        <v>11740.026264911037</v>
      </c>
      <c r="AG104" s="22">
        <f t="shared" si="110"/>
        <v>12071.524519887693</v>
      </c>
      <c r="AH104" s="22">
        <f t="shared" si="110"/>
        <v>12371.716434328728</v>
      </c>
      <c r="AJ104" s="31"/>
    </row>
    <row r="105" spans="2:36">
      <c r="B105" s="87" t="s">
        <v>41</v>
      </c>
      <c r="C105" s="5">
        <v>597</v>
      </c>
      <c r="D105" s="5">
        <v>654</v>
      </c>
      <c r="E105" s="5">
        <v>716</v>
      </c>
      <c r="F105" s="5">
        <v>803</v>
      </c>
      <c r="G105" s="5">
        <v>855</v>
      </c>
      <c r="H105" s="5">
        <v>908</v>
      </c>
      <c r="I105" s="5">
        <v>940</v>
      </c>
      <c r="J105" s="5">
        <v>980</v>
      </c>
      <c r="K105" s="5">
        <v>1942</v>
      </c>
      <c r="L105" s="5">
        <v>2931</v>
      </c>
      <c r="M105" s="59">
        <v>2333</v>
      </c>
      <c r="N105" s="5">
        <v>2255</v>
      </c>
      <c r="O105" s="5">
        <v>2282</v>
      </c>
      <c r="P105" s="5">
        <v>2340</v>
      </c>
      <c r="Q105" s="59">
        <v>2769</v>
      </c>
      <c r="R105" s="59">
        <v>2769</v>
      </c>
      <c r="S105" s="22">
        <v>2779</v>
      </c>
      <c r="T105" s="5">
        <f>1569+1228</f>
        <v>2797</v>
      </c>
      <c r="U105" s="5">
        <v>-5</v>
      </c>
      <c r="X105" s="5">
        <f>SUM(T105:W105)</f>
        <v>2792</v>
      </c>
      <c r="Y105" s="22">
        <f t="shared" ref="Y105:Z107" si="111">X105</f>
        <v>2792</v>
      </c>
      <c r="Z105" s="59">
        <f t="shared" si="111"/>
        <v>2792</v>
      </c>
      <c r="AA105" s="22">
        <f>Z105</f>
        <v>2792</v>
      </c>
      <c r="AB105" s="22">
        <f t="shared" ref="AB105:AH107" si="112">AA105</f>
        <v>2792</v>
      </c>
      <c r="AC105" s="22">
        <f t="shared" si="112"/>
        <v>2792</v>
      </c>
      <c r="AD105" s="22">
        <f t="shared" si="112"/>
        <v>2792</v>
      </c>
      <c r="AE105" s="22">
        <f t="shared" si="112"/>
        <v>2792</v>
      </c>
      <c r="AF105" s="22">
        <f t="shared" si="112"/>
        <v>2792</v>
      </c>
      <c r="AG105" s="22">
        <f t="shared" si="112"/>
        <v>2792</v>
      </c>
      <c r="AH105" s="22">
        <f t="shared" si="112"/>
        <v>2792</v>
      </c>
      <c r="AJ105" s="31"/>
    </row>
    <row r="106" spans="2:36">
      <c r="B106" s="87" t="s">
        <v>17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533</v>
      </c>
      <c r="J106" s="22">
        <v>693</v>
      </c>
      <c r="K106" s="22">
        <v>758</v>
      </c>
      <c r="L106" s="22">
        <v>944</v>
      </c>
      <c r="M106" s="59">
        <v>1129</v>
      </c>
      <c r="N106" s="22">
        <v>1185</v>
      </c>
      <c r="O106" s="22">
        <v>1212</v>
      </c>
      <c r="P106" s="22">
        <v>1246</v>
      </c>
      <c r="Q106" s="59">
        <f t="shared" si="109"/>
        <v>1313</v>
      </c>
      <c r="R106" s="59">
        <v>1313</v>
      </c>
      <c r="S106" s="22">
        <v>1357</v>
      </c>
      <c r="T106" s="22">
        <v>1380</v>
      </c>
      <c r="U106" s="22">
        <v>-12</v>
      </c>
      <c r="V106" s="22">
        <v>-1355</v>
      </c>
      <c r="W106" s="22"/>
      <c r="X106" s="22">
        <f>SUM(T106:W106)</f>
        <v>13</v>
      </c>
      <c r="Y106" s="22">
        <f t="shared" si="111"/>
        <v>13</v>
      </c>
      <c r="Z106" s="119">
        <f t="shared" si="111"/>
        <v>13</v>
      </c>
      <c r="AA106" s="22">
        <f>Z106</f>
        <v>13</v>
      </c>
      <c r="AB106" s="22">
        <f>AA106</f>
        <v>13</v>
      </c>
      <c r="AC106" s="22">
        <f t="shared" si="112"/>
        <v>13</v>
      </c>
      <c r="AD106" s="22">
        <f t="shared" si="112"/>
        <v>13</v>
      </c>
      <c r="AE106" s="22">
        <f t="shared" si="112"/>
        <v>13</v>
      </c>
      <c r="AF106" s="22">
        <f t="shared" si="112"/>
        <v>13</v>
      </c>
      <c r="AG106" s="22">
        <f t="shared" si="112"/>
        <v>13</v>
      </c>
      <c r="AH106" s="22">
        <f t="shared" si="112"/>
        <v>13</v>
      </c>
      <c r="AJ106" s="31"/>
    </row>
    <row r="107" spans="2:36">
      <c r="B107" s="87" t="s">
        <v>3</v>
      </c>
      <c r="C107" s="24">
        <v>687</v>
      </c>
      <c r="D107" s="24">
        <v>672</v>
      </c>
      <c r="E107" s="24">
        <v>582</v>
      </c>
      <c r="F107" s="24">
        <v>544</v>
      </c>
      <c r="G107" s="24">
        <v>530</v>
      </c>
      <c r="H107" s="24">
        <v>813</v>
      </c>
      <c r="I107" s="24">
        <v>808</v>
      </c>
      <c r="J107" s="24">
        <v>850</v>
      </c>
      <c r="K107" s="24">
        <v>431</v>
      </c>
      <c r="L107" s="24">
        <v>448</v>
      </c>
      <c r="M107" s="60">
        <v>430</v>
      </c>
      <c r="N107" s="24">
        <v>520</v>
      </c>
      <c r="O107" s="24">
        <v>440</v>
      </c>
      <c r="P107" s="24">
        <v>479</v>
      </c>
      <c r="Q107" s="60">
        <v>415</v>
      </c>
      <c r="R107" s="60">
        <v>415</v>
      </c>
      <c r="S107" s="24">
        <v>499</v>
      </c>
      <c r="T107" s="24">
        <f>207+200+18+9+14</f>
        <v>448</v>
      </c>
      <c r="U107" s="24">
        <v>0</v>
      </c>
      <c r="V107" s="24"/>
      <c r="W107" s="24"/>
      <c r="X107" s="24">
        <f>SUM(T107:W107)</f>
        <v>448</v>
      </c>
      <c r="Y107" s="24">
        <f t="shared" si="111"/>
        <v>448</v>
      </c>
      <c r="Z107" s="60">
        <f t="shared" si="111"/>
        <v>448</v>
      </c>
      <c r="AA107" s="24">
        <f>Z107</f>
        <v>448</v>
      </c>
      <c r="AB107" s="24">
        <f t="shared" si="112"/>
        <v>448</v>
      </c>
      <c r="AC107" s="24">
        <f t="shared" si="112"/>
        <v>448</v>
      </c>
      <c r="AD107" s="24">
        <f t="shared" si="112"/>
        <v>448</v>
      </c>
      <c r="AE107" s="24">
        <f t="shared" si="112"/>
        <v>448</v>
      </c>
      <c r="AF107" s="24">
        <f t="shared" si="112"/>
        <v>448</v>
      </c>
      <c r="AG107" s="24">
        <f t="shared" si="112"/>
        <v>448</v>
      </c>
      <c r="AH107" s="24">
        <f t="shared" si="112"/>
        <v>448</v>
      </c>
      <c r="AJ107" s="31"/>
    </row>
    <row r="108" spans="2:36">
      <c r="B108" s="90" t="s">
        <v>43</v>
      </c>
      <c r="C108" s="17">
        <f t="shared" ref="C108:AH108" si="113">SUM(C102:C107)</f>
        <v>7015</v>
      </c>
      <c r="D108" s="17">
        <f t="shared" si="113"/>
        <v>7201</v>
      </c>
      <c r="E108" s="17">
        <f t="shared" si="113"/>
        <v>7105</v>
      </c>
      <c r="F108" s="17">
        <f t="shared" si="113"/>
        <v>7413</v>
      </c>
      <c r="G108" s="17">
        <f t="shared" si="113"/>
        <v>7900</v>
      </c>
      <c r="H108" s="17">
        <f t="shared" si="113"/>
        <v>8754</v>
      </c>
      <c r="I108" s="17">
        <f t="shared" si="113"/>
        <v>10217</v>
      </c>
      <c r="J108" s="17">
        <f t="shared" si="113"/>
        <v>11341</v>
      </c>
      <c r="K108" s="17">
        <f t="shared" si="113"/>
        <v>12382</v>
      </c>
      <c r="L108" s="17">
        <f t="shared" si="113"/>
        <v>13981</v>
      </c>
      <c r="M108" s="94">
        <f t="shared" si="113"/>
        <v>14210</v>
      </c>
      <c r="N108" s="17">
        <f t="shared" si="113"/>
        <v>14378</v>
      </c>
      <c r="O108" s="17">
        <f t="shared" si="113"/>
        <v>14726</v>
      </c>
      <c r="P108" s="17">
        <f t="shared" si="113"/>
        <v>14870</v>
      </c>
      <c r="Q108" s="94">
        <f t="shared" si="113"/>
        <v>14603</v>
      </c>
      <c r="R108" s="94">
        <f t="shared" si="113"/>
        <v>14603</v>
      </c>
      <c r="S108" s="96">
        <f t="shared" si="113"/>
        <v>14740</v>
      </c>
      <c r="T108" s="17">
        <f t="shared" si="113"/>
        <v>14910</v>
      </c>
      <c r="U108" s="17">
        <f>SUM(U102:U107)</f>
        <v>-91</v>
      </c>
      <c r="V108" s="17">
        <f>SUM(V102:V107)</f>
        <v>-1355</v>
      </c>
      <c r="W108" s="17">
        <f>W104</f>
        <v>800</v>
      </c>
      <c r="X108" s="17">
        <f>SUM(X102:X107)</f>
        <v>14264</v>
      </c>
      <c r="Y108" s="96">
        <f t="shared" si="113"/>
        <v>14620.901825000001</v>
      </c>
      <c r="Z108" s="94">
        <f t="shared" si="113"/>
        <v>14820.910162953125</v>
      </c>
      <c r="AA108" s="96">
        <f t="shared" si="113"/>
        <v>14820.910162953125</v>
      </c>
      <c r="AB108" s="96">
        <f t="shared" si="113"/>
        <v>15417.54028187254</v>
      </c>
      <c r="AC108" s="96">
        <f t="shared" si="113"/>
        <v>15945.327392184598</v>
      </c>
      <c r="AD108" s="96">
        <f t="shared" si="113"/>
        <v>16432.84405552598</v>
      </c>
      <c r="AE108" s="96">
        <f t="shared" si="113"/>
        <v>16882.295702034018</v>
      </c>
      <c r="AF108" s="96">
        <f t="shared" si="113"/>
        <v>17296.747125078804</v>
      </c>
      <c r="AG108" s="96">
        <f t="shared" si="113"/>
        <v>17687.945165099103</v>
      </c>
      <c r="AH108" s="96">
        <f t="shared" si="113"/>
        <v>18050.932615515871</v>
      </c>
      <c r="AJ108" s="31"/>
    </row>
    <row r="109" spans="2:36">
      <c r="M109" s="59"/>
      <c r="Q109" s="59"/>
      <c r="R109" s="59"/>
      <c r="S109" s="22"/>
      <c r="Y109" s="22"/>
      <c r="Z109" s="59"/>
      <c r="AA109" s="22"/>
      <c r="AB109" s="22"/>
      <c r="AC109" s="22"/>
      <c r="AD109" s="22"/>
      <c r="AE109" s="22"/>
      <c r="AF109" s="22"/>
      <c r="AG109" s="22"/>
      <c r="AH109" s="22"/>
      <c r="AJ109" s="31"/>
    </row>
    <row r="110" spans="2:36">
      <c r="B110" s="87" t="s">
        <v>44</v>
      </c>
      <c r="C110" s="5">
        <v>323</v>
      </c>
      <c r="D110" s="5">
        <v>323</v>
      </c>
      <c r="E110" s="5">
        <v>323</v>
      </c>
      <c r="F110" s="5">
        <v>323</v>
      </c>
      <c r="G110" s="5">
        <v>323</v>
      </c>
      <c r="H110" s="5">
        <v>323</v>
      </c>
      <c r="I110" s="5">
        <v>323</v>
      </c>
      <c r="J110" s="5">
        <v>323</v>
      </c>
      <c r="K110" s="5">
        <v>323</v>
      </c>
      <c r="L110" s="5">
        <v>323</v>
      </c>
      <c r="M110" s="59">
        <v>323</v>
      </c>
      <c r="N110" s="5">
        <v>323</v>
      </c>
      <c r="O110" s="5">
        <v>323</v>
      </c>
      <c r="P110" s="5">
        <v>323</v>
      </c>
      <c r="Q110" s="59">
        <f>R110</f>
        <v>323</v>
      </c>
      <c r="R110" s="59">
        <v>323</v>
      </c>
      <c r="S110" s="22">
        <v>323</v>
      </c>
      <c r="T110" s="5">
        <f t="shared" ref="T110:AH110" si="114">S110</f>
        <v>323</v>
      </c>
      <c r="U110" s="5">
        <v>0</v>
      </c>
      <c r="W110" s="5">
        <f>IF(Province!C7=1,-323,0)</f>
        <v>-323</v>
      </c>
      <c r="X110" s="5">
        <f>SUM(T110:W110)</f>
        <v>0</v>
      </c>
      <c r="Y110" s="22">
        <f>X110</f>
        <v>0</v>
      </c>
      <c r="Z110" s="59">
        <f t="shared" si="114"/>
        <v>0</v>
      </c>
      <c r="AA110" s="22">
        <f t="shared" si="114"/>
        <v>0</v>
      </c>
      <c r="AB110" s="22">
        <f t="shared" si="114"/>
        <v>0</v>
      </c>
      <c r="AC110" s="22">
        <f t="shared" si="114"/>
        <v>0</v>
      </c>
      <c r="AD110" s="22">
        <f t="shared" si="114"/>
        <v>0</v>
      </c>
      <c r="AE110" s="22">
        <f t="shared" si="114"/>
        <v>0</v>
      </c>
      <c r="AF110" s="22">
        <f t="shared" si="114"/>
        <v>0</v>
      </c>
      <c r="AG110" s="22">
        <f t="shared" si="114"/>
        <v>0</v>
      </c>
      <c r="AH110" s="22">
        <f t="shared" si="114"/>
        <v>0</v>
      </c>
      <c r="AJ110" s="31"/>
    </row>
    <row r="111" spans="2:36">
      <c r="B111" s="87" t="s">
        <v>45</v>
      </c>
      <c r="C111" s="22">
        <v>3314</v>
      </c>
      <c r="D111" s="22">
        <v>3314</v>
      </c>
      <c r="E111" s="22">
        <v>3314</v>
      </c>
      <c r="F111" s="22">
        <v>3314</v>
      </c>
      <c r="G111" s="22">
        <v>3314</v>
      </c>
      <c r="H111" s="22">
        <v>3314</v>
      </c>
      <c r="I111" s="22">
        <v>3314</v>
      </c>
      <c r="J111" s="22">
        <v>3314</v>
      </c>
      <c r="K111" s="22">
        <v>3314</v>
      </c>
      <c r="L111" s="22">
        <v>3314</v>
      </c>
      <c r="M111" s="59">
        <v>3314</v>
      </c>
      <c r="N111" s="22">
        <v>3314</v>
      </c>
      <c r="O111" s="22">
        <v>3314</v>
      </c>
      <c r="P111" s="22">
        <v>3314</v>
      </c>
      <c r="Q111" s="59">
        <f>R111</f>
        <v>3314</v>
      </c>
      <c r="R111" s="59">
        <v>3314</v>
      </c>
      <c r="S111" s="22">
        <v>3314</v>
      </c>
      <c r="T111" s="22">
        <f>S111</f>
        <v>3314</v>
      </c>
      <c r="U111" s="5">
        <f>-233-193</f>
        <v>-426</v>
      </c>
      <c r="V111" s="22">
        <f>-Province!C49</f>
        <v>2600</v>
      </c>
      <c r="W111" s="22">
        <f>-W110</f>
        <v>323</v>
      </c>
      <c r="X111" s="22">
        <f>SUM(T111:W111)</f>
        <v>5811</v>
      </c>
      <c r="Y111" s="22">
        <f>X111</f>
        <v>5811</v>
      </c>
      <c r="Z111" s="59">
        <f t="shared" ref="Z111:AH111" si="115">Y111</f>
        <v>5811</v>
      </c>
      <c r="AA111" s="22">
        <f t="shared" si="115"/>
        <v>5811</v>
      </c>
      <c r="AB111" s="22">
        <f t="shared" si="115"/>
        <v>5811</v>
      </c>
      <c r="AC111" s="22">
        <f t="shared" si="115"/>
        <v>5811</v>
      </c>
      <c r="AD111" s="22">
        <f t="shared" si="115"/>
        <v>5811</v>
      </c>
      <c r="AE111" s="22">
        <f t="shared" si="115"/>
        <v>5811</v>
      </c>
      <c r="AF111" s="22">
        <f t="shared" si="115"/>
        <v>5811</v>
      </c>
      <c r="AG111" s="22">
        <f t="shared" si="115"/>
        <v>5811</v>
      </c>
      <c r="AH111" s="22">
        <f t="shared" si="115"/>
        <v>5811</v>
      </c>
      <c r="AJ111" s="31"/>
    </row>
    <row r="112" spans="2:36">
      <c r="B112" s="87" t="s">
        <v>46</v>
      </c>
      <c r="C112" s="22">
        <v>654</v>
      </c>
      <c r="D112" s="22">
        <v>887</v>
      </c>
      <c r="E112" s="22">
        <v>1079</v>
      </c>
      <c r="F112" s="22">
        <v>1184</v>
      </c>
      <c r="G112" s="22">
        <v>1258</v>
      </c>
      <c r="H112" s="22">
        <v>1497</v>
      </c>
      <c r="I112" s="22">
        <v>1791</v>
      </c>
      <c r="J112" s="22">
        <v>2354</v>
      </c>
      <c r="K112" s="22">
        <v>2827</v>
      </c>
      <c r="L112" s="22">
        <v>3202</v>
      </c>
      <c r="M112" s="59">
        <v>3787</v>
      </c>
      <c r="N112" s="22">
        <v>3828</v>
      </c>
      <c r="O112" s="22">
        <v>3913</v>
      </c>
      <c r="P112" s="22">
        <v>4057</v>
      </c>
      <c r="Q112" s="59">
        <f>R112</f>
        <v>4249</v>
      </c>
      <c r="R112" s="59">
        <f>4249</f>
        <v>4249</v>
      </c>
      <c r="S112" s="22">
        <v>4452</v>
      </c>
      <c r="T112" s="22">
        <v>4558</v>
      </c>
      <c r="U112" s="22">
        <v>-24</v>
      </c>
      <c r="V112" s="22">
        <f>V44</f>
        <v>-290.43890435952562</v>
      </c>
      <c r="W112" s="22">
        <f>W68+W57</f>
        <v>-809</v>
      </c>
      <c r="X112" s="22">
        <f>SUM(T112:W112)</f>
        <v>3434.5610956404744</v>
      </c>
      <c r="Y112" s="22">
        <f>X112+Y44+Y64</f>
        <v>3480.7064706404744</v>
      </c>
      <c r="Z112" s="59">
        <f>Y112+Z44+Z64</f>
        <v>3525.4014486873493</v>
      </c>
      <c r="AA112" s="22">
        <f>Z112</f>
        <v>3525.4014486873493</v>
      </c>
      <c r="AB112" s="22">
        <f>AA112+AB44+AB64</f>
        <v>3720.6255403879345</v>
      </c>
      <c r="AC112" s="22">
        <f t="shared" ref="AC112:AH112" si="116">AB112+AC44+AC64</f>
        <v>3918.320162722528</v>
      </c>
      <c r="AD112" s="22">
        <f t="shared" si="116"/>
        <v>4120.5311643715922</v>
      </c>
      <c r="AE112" s="22">
        <f t="shared" si="116"/>
        <v>4329.0990888252009</v>
      </c>
      <c r="AF112" s="22">
        <f t="shared" si="116"/>
        <v>4545.8358338201815</v>
      </c>
      <c r="AG112" s="22">
        <f t="shared" si="116"/>
        <v>4760.779075888935</v>
      </c>
      <c r="AH112" s="22">
        <f t="shared" si="116"/>
        <v>4980.5890965906046</v>
      </c>
      <c r="AJ112" s="31"/>
    </row>
    <row r="113" spans="2:36">
      <c r="B113" s="87" t="s">
        <v>47</v>
      </c>
      <c r="C113" s="24"/>
      <c r="D113" s="24">
        <v>0</v>
      </c>
      <c r="E113" s="24">
        <v>0</v>
      </c>
      <c r="F113" s="24">
        <v>0</v>
      </c>
      <c r="G113" s="24">
        <v>-9</v>
      </c>
      <c r="H113" s="24">
        <v>-10</v>
      </c>
      <c r="I113" s="24">
        <v>-10</v>
      </c>
      <c r="J113" s="24">
        <v>-10</v>
      </c>
      <c r="K113" s="24">
        <v>-10</v>
      </c>
      <c r="L113" s="24">
        <v>-9</v>
      </c>
      <c r="M113" s="60">
        <v>-9</v>
      </c>
      <c r="N113" s="24">
        <v>-9</v>
      </c>
      <c r="O113" s="24">
        <v>-9</v>
      </c>
      <c r="P113" s="24">
        <v>-10</v>
      </c>
      <c r="Q113" s="60">
        <f>R113</f>
        <v>61</v>
      </c>
      <c r="R113" s="60">
        <f>21-9+49</f>
        <v>61</v>
      </c>
      <c r="S113" s="24">
        <f>22-9+50</f>
        <v>63</v>
      </c>
      <c r="T113" s="24">
        <f>-9+50+21</f>
        <v>62</v>
      </c>
      <c r="U113" s="24">
        <v>0</v>
      </c>
      <c r="V113" s="24"/>
      <c r="W113" s="24"/>
      <c r="X113" s="24">
        <f>SUM(T113:W113)</f>
        <v>62</v>
      </c>
      <c r="Y113" s="24">
        <f>X113</f>
        <v>62</v>
      </c>
      <c r="Z113" s="120">
        <f>Y113</f>
        <v>62</v>
      </c>
      <c r="AA113" s="27">
        <f>Z113</f>
        <v>62</v>
      </c>
      <c r="AB113" s="27">
        <f>AA113</f>
        <v>62</v>
      </c>
      <c r="AC113" s="27">
        <f t="shared" ref="AC113:AH113" si="117">AB113</f>
        <v>62</v>
      </c>
      <c r="AD113" s="27">
        <f t="shared" si="117"/>
        <v>62</v>
      </c>
      <c r="AE113" s="27">
        <f t="shared" si="117"/>
        <v>62</v>
      </c>
      <c r="AF113" s="27">
        <f t="shared" si="117"/>
        <v>62</v>
      </c>
      <c r="AG113" s="27">
        <f t="shared" si="117"/>
        <v>62</v>
      </c>
      <c r="AH113" s="27">
        <f t="shared" si="117"/>
        <v>62</v>
      </c>
      <c r="AJ113" s="31"/>
    </row>
    <row r="114" spans="2:36">
      <c r="B114" s="90" t="s">
        <v>48</v>
      </c>
      <c r="C114" s="17">
        <f t="shared" ref="C114:L114" si="118">SUM(C110:C113)</f>
        <v>4291</v>
      </c>
      <c r="D114" s="17">
        <f t="shared" si="118"/>
        <v>4524</v>
      </c>
      <c r="E114" s="17">
        <f t="shared" si="118"/>
        <v>4716</v>
      </c>
      <c r="F114" s="17">
        <f t="shared" si="118"/>
        <v>4821</v>
      </c>
      <c r="G114" s="17">
        <f t="shared" si="118"/>
        <v>4886</v>
      </c>
      <c r="H114" s="17">
        <f t="shared" si="118"/>
        <v>5124</v>
      </c>
      <c r="I114" s="17">
        <f t="shared" si="118"/>
        <v>5418</v>
      </c>
      <c r="J114" s="17">
        <f t="shared" si="118"/>
        <v>5981</v>
      </c>
      <c r="K114" s="17">
        <f t="shared" si="118"/>
        <v>6454</v>
      </c>
      <c r="L114" s="17">
        <f t="shared" si="118"/>
        <v>6830</v>
      </c>
      <c r="M114" s="94">
        <f t="shared" ref="M114:AH114" si="119">SUM(M110:M113)</f>
        <v>7415</v>
      </c>
      <c r="N114" s="17">
        <f t="shared" si="119"/>
        <v>7456</v>
      </c>
      <c r="O114" s="17">
        <f t="shared" si="119"/>
        <v>7541</v>
      </c>
      <c r="P114" s="17">
        <f t="shared" si="119"/>
        <v>7684</v>
      </c>
      <c r="Q114" s="94">
        <f t="shared" si="119"/>
        <v>7947</v>
      </c>
      <c r="R114" s="94">
        <f t="shared" si="119"/>
        <v>7947</v>
      </c>
      <c r="S114" s="96">
        <f t="shared" si="119"/>
        <v>8152</v>
      </c>
      <c r="T114" s="17">
        <f t="shared" si="119"/>
        <v>8257</v>
      </c>
      <c r="U114" s="17">
        <f t="shared" ref="U114" si="120">SUM(U110:U113)</f>
        <v>-450</v>
      </c>
      <c r="V114" s="17">
        <f>SUM(V110:V113)</f>
        <v>2309.5610956404744</v>
      </c>
      <c r="W114" s="17">
        <f>SUM(W110:W113)</f>
        <v>-809</v>
      </c>
      <c r="X114" s="17">
        <f>SUM(X110:X113)</f>
        <v>9307.5610956404744</v>
      </c>
      <c r="Y114" s="96">
        <f>SUM(Y110:Y113)</f>
        <v>9353.7064706404744</v>
      </c>
      <c r="Z114" s="94">
        <f t="shared" si="119"/>
        <v>9398.4014486873493</v>
      </c>
      <c r="AA114" s="96">
        <f>SUM(AA110:AA113)</f>
        <v>9398.4014486873493</v>
      </c>
      <c r="AB114" s="96">
        <f t="shared" si="119"/>
        <v>9593.625540387935</v>
      </c>
      <c r="AC114" s="96">
        <f t="shared" si="119"/>
        <v>9791.320162722528</v>
      </c>
      <c r="AD114" s="96">
        <f t="shared" si="119"/>
        <v>9993.5311643715922</v>
      </c>
      <c r="AE114" s="96">
        <f t="shared" si="119"/>
        <v>10202.099088825202</v>
      </c>
      <c r="AF114" s="96">
        <f t="shared" si="119"/>
        <v>10418.835833820182</v>
      </c>
      <c r="AG114" s="96">
        <f t="shared" si="119"/>
        <v>10633.779075888935</v>
      </c>
      <c r="AH114" s="96">
        <f t="shared" si="119"/>
        <v>10853.589096590604</v>
      </c>
      <c r="AJ114" s="31"/>
    </row>
    <row r="115" spans="2:36">
      <c r="M115" s="59"/>
      <c r="Q115" s="59"/>
      <c r="R115" s="59"/>
      <c r="S115" s="22"/>
      <c r="Y115" s="22"/>
      <c r="Z115" s="59"/>
      <c r="AA115" s="22"/>
      <c r="AB115" s="22"/>
      <c r="AC115" s="22"/>
      <c r="AD115" s="22"/>
      <c r="AE115" s="22"/>
      <c r="AF115" s="22"/>
      <c r="AG115" s="22"/>
      <c r="AH115" s="22"/>
      <c r="AJ115" s="31"/>
    </row>
    <row r="116" spans="2:36" ht="12.75" thickBot="1">
      <c r="B116" s="90" t="s">
        <v>49</v>
      </c>
      <c r="C116" s="36">
        <f t="shared" ref="C116:L116" si="121">C114+C108</f>
        <v>11306</v>
      </c>
      <c r="D116" s="36">
        <f t="shared" si="121"/>
        <v>11725</v>
      </c>
      <c r="E116" s="36">
        <f t="shared" si="121"/>
        <v>11821</v>
      </c>
      <c r="F116" s="36">
        <f t="shared" si="121"/>
        <v>12234</v>
      </c>
      <c r="G116" s="36">
        <f t="shared" si="121"/>
        <v>12786</v>
      </c>
      <c r="H116" s="36">
        <f t="shared" si="121"/>
        <v>13878</v>
      </c>
      <c r="I116" s="36">
        <f t="shared" si="121"/>
        <v>15635</v>
      </c>
      <c r="J116" s="36">
        <f t="shared" si="121"/>
        <v>17322</v>
      </c>
      <c r="K116" s="36">
        <f t="shared" si="121"/>
        <v>18836</v>
      </c>
      <c r="L116" s="36">
        <f t="shared" si="121"/>
        <v>20811</v>
      </c>
      <c r="M116" s="106">
        <f t="shared" ref="M116:S116" si="122">M114+M108</f>
        <v>21625</v>
      </c>
      <c r="N116" s="36">
        <f t="shared" si="122"/>
        <v>21834</v>
      </c>
      <c r="O116" s="36">
        <f t="shared" si="122"/>
        <v>22267</v>
      </c>
      <c r="P116" s="36">
        <f t="shared" si="122"/>
        <v>22554</v>
      </c>
      <c r="Q116" s="106">
        <f t="shared" si="122"/>
        <v>22550</v>
      </c>
      <c r="R116" s="106">
        <f t="shared" si="122"/>
        <v>22550</v>
      </c>
      <c r="S116" s="36">
        <f t="shared" si="122"/>
        <v>22892</v>
      </c>
      <c r="T116" s="36">
        <f t="shared" ref="T116" si="123">T114+T108</f>
        <v>23167</v>
      </c>
      <c r="U116" s="36">
        <f t="shared" ref="U116" si="124">U114+U108</f>
        <v>-541</v>
      </c>
      <c r="V116" s="36">
        <f>V114+V108</f>
        <v>954.56109564047438</v>
      </c>
      <c r="W116" s="36">
        <f>W114+W108</f>
        <v>-9</v>
      </c>
      <c r="X116" s="36">
        <f t="shared" ref="X116" si="125">X114+X108</f>
        <v>23571.561095640474</v>
      </c>
      <c r="Y116" s="36">
        <f>Y114+Y108</f>
        <v>23974.608295640475</v>
      </c>
      <c r="Z116" s="106">
        <f t="shared" ref="Z116:AA116" si="126">Z114+Z108</f>
        <v>24219.311611640474</v>
      </c>
      <c r="AA116" s="36">
        <f t="shared" si="126"/>
        <v>24219.311611640474</v>
      </c>
      <c r="AB116" s="36">
        <f t="shared" ref="AB116:AH116" si="127">AB114+AB108</f>
        <v>25011.165822260475</v>
      </c>
      <c r="AC116" s="36">
        <f t="shared" si="127"/>
        <v>25736.647554907126</v>
      </c>
      <c r="AD116" s="36">
        <f t="shared" si="127"/>
        <v>26426.375219897571</v>
      </c>
      <c r="AE116" s="36">
        <f t="shared" si="127"/>
        <v>27084.39479085922</v>
      </c>
      <c r="AF116" s="36">
        <f t="shared" si="127"/>
        <v>27715.582958898987</v>
      </c>
      <c r="AG116" s="36">
        <f t="shared" si="127"/>
        <v>28321.724240988038</v>
      </c>
      <c r="AH116" s="36">
        <f t="shared" si="127"/>
        <v>28904.521712106474</v>
      </c>
      <c r="AJ116" s="31"/>
    </row>
    <row r="117" spans="2:36" ht="12.75" thickTop="1">
      <c r="M117" s="59"/>
      <c r="Q117" s="59"/>
      <c r="R117" s="59"/>
      <c r="S117" s="22"/>
      <c r="Y117" s="22"/>
      <c r="Z117" s="59"/>
      <c r="AA117" s="22"/>
      <c r="AB117" s="22"/>
      <c r="AC117" s="22"/>
      <c r="AD117" s="22"/>
      <c r="AE117" s="22"/>
      <c r="AF117" s="22"/>
      <c r="AG117" s="22"/>
      <c r="AH117" s="22"/>
    </row>
    <row r="118" spans="2:36">
      <c r="B118" s="121" t="s">
        <v>50</v>
      </c>
      <c r="C118" s="122">
        <f t="shared" ref="C118:AH118" si="128">C96-C116</f>
        <v>0</v>
      </c>
      <c r="D118" s="122">
        <f t="shared" si="128"/>
        <v>0</v>
      </c>
      <c r="E118" s="122">
        <f t="shared" si="128"/>
        <v>0</v>
      </c>
      <c r="F118" s="122">
        <f t="shared" si="128"/>
        <v>0</v>
      </c>
      <c r="G118" s="122">
        <f t="shared" si="128"/>
        <v>0</v>
      </c>
      <c r="H118" s="122">
        <f t="shared" si="128"/>
        <v>0</v>
      </c>
      <c r="I118" s="122">
        <f t="shared" si="128"/>
        <v>0</v>
      </c>
      <c r="J118" s="122">
        <f t="shared" si="128"/>
        <v>0</v>
      </c>
      <c r="K118" s="122">
        <f t="shared" si="128"/>
        <v>0</v>
      </c>
      <c r="L118" s="122">
        <f t="shared" si="128"/>
        <v>0</v>
      </c>
      <c r="M118" s="123">
        <f t="shared" si="128"/>
        <v>0</v>
      </c>
      <c r="N118" s="122">
        <f t="shared" si="128"/>
        <v>0</v>
      </c>
      <c r="O118" s="122">
        <f t="shared" si="128"/>
        <v>0</v>
      </c>
      <c r="P118" s="122">
        <f t="shared" si="128"/>
        <v>0</v>
      </c>
      <c r="Q118" s="123">
        <f t="shared" si="128"/>
        <v>0</v>
      </c>
      <c r="R118" s="123">
        <f t="shared" si="128"/>
        <v>0</v>
      </c>
      <c r="S118" s="124">
        <f t="shared" si="128"/>
        <v>0</v>
      </c>
      <c r="T118" s="122">
        <f t="shared" si="128"/>
        <v>0</v>
      </c>
      <c r="U118" s="122">
        <f t="shared" ref="U118:V118" si="129">U96-U116</f>
        <v>0</v>
      </c>
      <c r="V118" s="122">
        <f t="shared" si="129"/>
        <v>0</v>
      </c>
      <c r="W118" s="122">
        <f t="shared" ref="W118:X118" si="130">W96-W116</f>
        <v>0</v>
      </c>
      <c r="X118" s="122">
        <f t="shared" si="130"/>
        <v>0</v>
      </c>
      <c r="Y118" s="124">
        <f>Y96-Y116</f>
        <v>0</v>
      </c>
      <c r="Z118" s="123">
        <f t="shared" si="128"/>
        <v>0</v>
      </c>
      <c r="AA118" s="124">
        <f t="shared" si="128"/>
        <v>0</v>
      </c>
      <c r="AB118" s="124">
        <f t="shared" si="128"/>
        <v>0</v>
      </c>
      <c r="AC118" s="124">
        <f t="shared" si="128"/>
        <v>0</v>
      </c>
      <c r="AD118" s="124">
        <f t="shared" si="128"/>
        <v>0</v>
      </c>
      <c r="AE118" s="124">
        <f t="shared" si="128"/>
        <v>0</v>
      </c>
      <c r="AF118" s="124">
        <f t="shared" si="128"/>
        <v>0</v>
      </c>
      <c r="AG118" s="124">
        <f t="shared" si="128"/>
        <v>0</v>
      </c>
      <c r="AH118" s="124">
        <f t="shared" si="128"/>
        <v>0</v>
      </c>
    </row>
    <row r="119" spans="2:36">
      <c r="M119" s="59"/>
      <c r="Q119" s="59"/>
      <c r="R119" s="59"/>
      <c r="S119" s="22"/>
      <c r="T119" s="108"/>
      <c r="U119" s="22"/>
      <c r="V119" s="22"/>
      <c r="W119" s="22"/>
      <c r="X119" s="22"/>
      <c r="Y119" s="22"/>
      <c r="Z119" s="59"/>
      <c r="AA119" s="22"/>
      <c r="AB119" s="22"/>
      <c r="AC119" s="22"/>
      <c r="AD119" s="22"/>
      <c r="AE119" s="22"/>
      <c r="AF119" s="22"/>
      <c r="AG119" s="22"/>
      <c r="AH119" s="22"/>
    </row>
    <row r="120" spans="2:36">
      <c r="B120" s="299" t="s">
        <v>8</v>
      </c>
      <c r="C120" s="290"/>
      <c r="D120" s="290"/>
      <c r="E120" s="290"/>
      <c r="F120" s="290"/>
      <c r="G120" s="290"/>
      <c r="H120" s="290"/>
      <c r="I120" s="290"/>
      <c r="J120" s="290"/>
      <c r="K120" s="290"/>
      <c r="L120" s="290"/>
      <c r="M120" s="291"/>
      <c r="N120" s="292"/>
      <c r="O120" s="292"/>
      <c r="P120" s="292"/>
      <c r="Q120" s="293"/>
      <c r="R120" s="294"/>
      <c r="S120" s="295"/>
      <c r="T120" s="292"/>
      <c r="U120" s="298"/>
      <c r="V120" s="298"/>
      <c r="W120" s="298"/>
      <c r="X120" s="296"/>
      <c r="Y120" s="296"/>
      <c r="Z120" s="297"/>
      <c r="AA120" s="296"/>
      <c r="AB120" s="296"/>
      <c r="AC120" s="296"/>
      <c r="AD120" s="296"/>
      <c r="AE120" s="296"/>
      <c r="AF120" s="296"/>
      <c r="AG120" s="296"/>
      <c r="AH120" s="296"/>
    </row>
    <row r="121" spans="2:36">
      <c r="M121" s="59"/>
      <c r="Q121" s="59"/>
      <c r="R121" s="59"/>
      <c r="S121" s="22"/>
      <c r="T121" s="22"/>
      <c r="U121" s="22"/>
      <c r="V121" s="22"/>
      <c r="W121" s="22"/>
      <c r="X121" s="22"/>
      <c r="Y121" s="22"/>
      <c r="Z121" s="59"/>
      <c r="AA121" s="22"/>
      <c r="AB121" s="22"/>
      <c r="AC121" s="22"/>
      <c r="AD121" s="22"/>
      <c r="AE121" s="22"/>
      <c r="AF121" s="22"/>
      <c r="AG121" s="22"/>
      <c r="AH121" s="22"/>
    </row>
    <row r="122" spans="2:36">
      <c r="B122" s="87" t="s">
        <v>57</v>
      </c>
      <c r="C122" s="5">
        <v>312</v>
      </c>
      <c r="D122" s="5">
        <v>287</v>
      </c>
      <c r="E122" s="5">
        <v>298</v>
      </c>
      <c r="F122" s="5">
        <v>298</v>
      </c>
      <c r="G122" s="5">
        <v>312</v>
      </c>
      <c r="H122" s="5">
        <f>331+2</f>
        <v>333</v>
      </c>
      <c r="I122" s="5">
        <v>369</v>
      </c>
      <c r="J122" s="5">
        <v>409</v>
      </c>
      <c r="K122" s="5">
        <v>412</v>
      </c>
      <c r="L122" s="5">
        <v>421</v>
      </c>
      <c r="M122" s="59">
        <v>416</v>
      </c>
      <c r="N122" s="125"/>
      <c r="O122" s="125"/>
      <c r="P122" s="125"/>
      <c r="Q122" s="126"/>
      <c r="R122" s="59">
        <v>432</v>
      </c>
      <c r="S122" s="127"/>
      <c r="T122" s="125"/>
      <c r="U122" s="125"/>
      <c r="V122" s="125"/>
      <c r="W122" s="125"/>
      <c r="X122" s="125"/>
      <c r="Y122" s="22">
        <f>Y206*T205</f>
        <v>116.125</v>
      </c>
      <c r="Z122" s="59">
        <f>Z206*Y205</f>
        <v>129.90251281250002</v>
      </c>
      <c r="AA122" s="127"/>
      <c r="AB122" s="22">
        <f t="shared" ref="AB122:AH122" si="131">AB206*AA205</f>
        <v>527.7744969476563</v>
      </c>
      <c r="AC122" s="22">
        <f t="shared" si="131"/>
        <v>554.43495690962698</v>
      </c>
      <c r="AD122" s="22">
        <f t="shared" si="131"/>
        <v>578.38349976854988</v>
      </c>
      <c r="AE122" s="22">
        <f t="shared" si="131"/>
        <v>600.19294759259037</v>
      </c>
      <c r="AF122" s="22">
        <f t="shared" si="131"/>
        <v>619.9668388310613</v>
      </c>
      <c r="AG122" s="22">
        <f t="shared" si="131"/>
        <v>637.85131324555186</v>
      </c>
      <c r="AH122" s="22">
        <f t="shared" si="131"/>
        <v>654.42622599438471</v>
      </c>
    </row>
    <row r="123" spans="2:36">
      <c r="B123" s="87" t="s">
        <v>55</v>
      </c>
      <c r="C123" s="5">
        <f>60+3</f>
        <v>63</v>
      </c>
      <c r="D123" s="5">
        <f>62+7</f>
        <v>69</v>
      </c>
      <c r="E123" s="5">
        <f>58+5-10</f>
        <v>53</v>
      </c>
      <c r="F123" s="5">
        <f>9+27-7</f>
        <v>29</v>
      </c>
      <c r="G123" s="5">
        <v>12</v>
      </c>
      <c r="H123" s="5">
        <v>2</v>
      </c>
      <c r="I123" s="5">
        <v>-1</v>
      </c>
      <c r="J123" s="5">
        <f>7+3</f>
        <v>10</v>
      </c>
      <c r="K123" s="5">
        <v>5</v>
      </c>
      <c r="L123" s="5">
        <v>12</v>
      </c>
      <c r="M123" s="59">
        <v>9</v>
      </c>
      <c r="N123" s="125"/>
      <c r="O123" s="125"/>
      <c r="P123" s="125"/>
      <c r="Q123" s="126"/>
      <c r="R123" s="59">
        <v>12</v>
      </c>
      <c r="S123" s="127"/>
      <c r="T123" s="125"/>
      <c r="U123" s="125"/>
      <c r="V123" s="125"/>
      <c r="W123" s="125"/>
      <c r="X123" s="125"/>
      <c r="Y123" s="128">
        <v>0</v>
      </c>
      <c r="Z123" s="129">
        <v>0</v>
      </c>
      <c r="AA123" s="127"/>
      <c r="AB123" s="128">
        <v>0</v>
      </c>
      <c r="AC123" s="128">
        <v>0</v>
      </c>
      <c r="AD123" s="128">
        <v>0</v>
      </c>
      <c r="AE123" s="128">
        <v>0</v>
      </c>
      <c r="AF123" s="128">
        <v>0</v>
      </c>
      <c r="AG123" s="128">
        <v>0</v>
      </c>
      <c r="AH123" s="128">
        <v>0</v>
      </c>
    </row>
    <row r="124" spans="2:36">
      <c r="B124" s="87" t="s">
        <v>58</v>
      </c>
      <c r="C124" s="5">
        <v>-20</v>
      </c>
      <c r="D124" s="5">
        <v>-23</v>
      </c>
      <c r="E124" s="5">
        <v>-21</v>
      </c>
      <c r="F124" s="5">
        <v>-28</v>
      </c>
      <c r="G124" s="5">
        <v>-24</v>
      </c>
      <c r="H124" s="5">
        <v>-36</v>
      </c>
      <c r="I124" s="5">
        <v>-58</v>
      </c>
      <c r="J124" s="5">
        <v>-54</v>
      </c>
      <c r="K124" s="5">
        <v>-58</v>
      </c>
      <c r="L124" s="5">
        <v>-59</v>
      </c>
      <c r="M124" s="59">
        <v>-51</v>
      </c>
      <c r="N124" s="125"/>
      <c r="O124" s="125"/>
      <c r="P124" s="125"/>
      <c r="Q124" s="126"/>
      <c r="R124" s="59">
        <v>-49</v>
      </c>
      <c r="S124" s="127"/>
      <c r="T124" s="125"/>
      <c r="U124" s="125"/>
      <c r="V124" s="125"/>
      <c r="W124" s="125"/>
      <c r="X124" s="125"/>
      <c r="Y124" s="22">
        <f>-Y207*T88</f>
        <v>-16.0395</v>
      </c>
      <c r="Z124" s="59">
        <f>-Z207*Y88</f>
        <v>-15.8865</v>
      </c>
      <c r="AA124" s="127"/>
      <c r="AB124" s="22">
        <f t="shared" ref="AB124:AH124" si="132">-AB207*AA88</f>
        <v>-63.545999999999999</v>
      </c>
      <c r="AC124" s="22">
        <f t="shared" si="132"/>
        <v>-63.545999999999999</v>
      </c>
      <c r="AD124" s="22">
        <f t="shared" si="132"/>
        <v>-63.545999999999999</v>
      </c>
      <c r="AE124" s="22">
        <f t="shared" si="132"/>
        <v>-63.545999999999999</v>
      </c>
      <c r="AF124" s="22">
        <f t="shared" si="132"/>
        <v>-63.545999999999999</v>
      </c>
      <c r="AG124" s="22">
        <f t="shared" si="132"/>
        <v>-63.545999999999999</v>
      </c>
      <c r="AH124" s="22">
        <f t="shared" si="132"/>
        <v>-63.545999999999999</v>
      </c>
    </row>
    <row r="125" spans="2:36">
      <c r="B125" s="87" t="s">
        <v>59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-17</v>
      </c>
      <c r="K125" s="22">
        <v>-12</v>
      </c>
      <c r="L125" s="22">
        <v>-12</v>
      </c>
      <c r="M125" s="59">
        <v>-11</v>
      </c>
      <c r="N125" s="127"/>
      <c r="O125" s="127"/>
      <c r="P125" s="127"/>
      <c r="Q125" s="126"/>
      <c r="R125" s="59">
        <v>-10</v>
      </c>
      <c r="S125" s="127"/>
      <c r="T125" s="127"/>
      <c r="U125" s="127"/>
      <c r="V125" s="127"/>
      <c r="W125" s="127"/>
      <c r="X125" s="127"/>
      <c r="Y125" s="128">
        <v>0</v>
      </c>
      <c r="Z125" s="129">
        <v>0</v>
      </c>
      <c r="AA125" s="127"/>
      <c r="AB125" s="128">
        <v>0</v>
      </c>
      <c r="AC125" s="128">
        <v>0</v>
      </c>
      <c r="AD125" s="128">
        <v>0</v>
      </c>
      <c r="AE125" s="128">
        <v>0</v>
      </c>
      <c r="AF125" s="128">
        <v>0</v>
      </c>
      <c r="AG125" s="128">
        <v>0</v>
      </c>
      <c r="AH125" s="128">
        <v>0</v>
      </c>
    </row>
    <row r="126" spans="2:36">
      <c r="B126" s="87" t="s">
        <v>31</v>
      </c>
      <c r="C126" s="24">
        <v>-7</v>
      </c>
      <c r="D126" s="24">
        <v>-2</v>
      </c>
      <c r="E126" s="24">
        <v>-5</v>
      </c>
      <c r="F126" s="24">
        <v>-4</v>
      </c>
      <c r="G126" s="24">
        <v>-5</v>
      </c>
      <c r="H126" s="24">
        <v>-7</v>
      </c>
      <c r="I126" s="24">
        <v>-2</v>
      </c>
      <c r="J126" s="24">
        <f>-6</f>
        <v>-6</v>
      </c>
      <c r="K126" s="24">
        <v>-3</v>
      </c>
      <c r="L126" s="24">
        <v>-4</v>
      </c>
      <c r="M126" s="60">
        <v>-3</v>
      </c>
      <c r="N126" s="130"/>
      <c r="O126" s="130"/>
      <c r="P126" s="130"/>
      <c r="Q126" s="131"/>
      <c r="R126" s="60">
        <v>-6</v>
      </c>
      <c r="S126" s="130"/>
      <c r="T126" s="130"/>
      <c r="U126" s="130"/>
      <c r="V126" s="130"/>
      <c r="W126" s="130"/>
      <c r="X126" s="130"/>
      <c r="Y126" s="132">
        <v>-1</v>
      </c>
      <c r="Z126" s="133">
        <v>-1</v>
      </c>
      <c r="AA126" s="130"/>
      <c r="AB126" s="132">
        <v>-5</v>
      </c>
      <c r="AC126" s="132">
        <v>-5</v>
      </c>
      <c r="AD126" s="132">
        <v>-5</v>
      </c>
      <c r="AE126" s="132">
        <v>-5</v>
      </c>
      <c r="AF126" s="132">
        <v>-5</v>
      </c>
      <c r="AG126" s="132">
        <v>-5</v>
      </c>
      <c r="AH126" s="132">
        <v>-5</v>
      </c>
    </row>
    <row r="127" spans="2:36">
      <c r="B127" s="90" t="s">
        <v>8</v>
      </c>
      <c r="C127" s="17">
        <f t="shared" ref="C127:L127" si="133">SUM(C122:C126)</f>
        <v>348</v>
      </c>
      <c r="D127" s="17">
        <f t="shared" si="133"/>
        <v>331</v>
      </c>
      <c r="E127" s="17">
        <f t="shared" si="133"/>
        <v>325</v>
      </c>
      <c r="F127" s="17">
        <f t="shared" si="133"/>
        <v>295</v>
      </c>
      <c r="G127" s="17">
        <f t="shared" si="133"/>
        <v>295</v>
      </c>
      <c r="H127" s="17">
        <f t="shared" si="133"/>
        <v>292</v>
      </c>
      <c r="I127" s="17">
        <f t="shared" si="133"/>
        <v>308</v>
      </c>
      <c r="J127" s="17">
        <f t="shared" si="133"/>
        <v>342</v>
      </c>
      <c r="K127" s="17">
        <f t="shared" si="133"/>
        <v>344</v>
      </c>
      <c r="L127" s="17">
        <f t="shared" si="133"/>
        <v>358</v>
      </c>
      <c r="M127" s="94">
        <f t="shared" ref="M127:AH127" si="134">SUM(M122:M126)</f>
        <v>360</v>
      </c>
      <c r="N127" s="17">
        <f t="shared" si="134"/>
        <v>0</v>
      </c>
      <c r="O127" s="17">
        <f t="shared" si="134"/>
        <v>0</v>
      </c>
      <c r="P127" s="17">
        <f t="shared" si="134"/>
        <v>0</v>
      </c>
      <c r="Q127" s="94">
        <f t="shared" si="134"/>
        <v>0</v>
      </c>
      <c r="R127" s="94">
        <f t="shared" si="134"/>
        <v>379</v>
      </c>
      <c r="S127" s="96">
        <f t="shared" si="134"/>
        <v>0</v>
      </c>
      <c r="T127" s="17">
        <f t="shared" ref="T127" si="135">SUM(T122:T126)</f>
        <v>0</v>
      </c>
      <c r="U127" s="17"/>
      <c r="V127" s="17"/>
      <c r="W127" s="17"/>
      <c r="X127" s="17"/>
      <c r="Y127" s="96">
        <f t="shared" si="134"/>
        <v>99.085499999999996</v>
      </c>
      <c r="Z127" s="94">
        <f t="shared" si="134"/>
        <v>113.01601281250002</v>
      </c>
      <c r="AA127" s="96">
        <f t="shared" si="134"/>
        <v>0</v>
      </c>
      <c r="AB127" s="96">
        <f t="shared" si="134"/>
        <v>459.22849694765631</v>
      </c>
      <c r="AC127" s="96">
        <f t="shared" si="134"/>
        <v>485.88895690962698</v>
      </c>
      <c r="AD127" s="96">
        <f t="shared" si="134"/>
        <v>509.83749976854983</v>
      </c>
      <c r="AE127" s="96">
        <f t="shared" si="134"/>
        <v>531.64694759259032</v>
      </c>
      <c r="AF127" s="96">
        <f t="shared" si="134"/>
        <v>551.42083883106125</v>
      </c>
      <c r="AG127" s="96">
        <f t="shared" si="134"/>
        <v>569.30531324555182</v>
      </c>
      <c r="AH127" s="96">
        <f t="shared" si="134"/>
        <v>585.88022599438466</v>
      </c>
    </row>
    <row r="128" spans="2:36">
      <c r="M128" s="59"/>
      <c r="Q128" s="59"/>
      <c r="R128" s="59"/>
      <c r="S128" s="22"/>
      <c r="Y128" s="22"/>
      <c r="Z128" s="59"/>
      <c r="AA128" s="22"/>
      <c r="AB128" s="22"/>
      <c r="AC128" s="22"/>
      <c r="AD128" s="22"/>
      <c r="AE128" s="22"/>
      <c r="AF128" s="22"/>
      <c r="AG128" s="22"/>
      <c r="AH128" s="22"/>
    </row>
    <row r="129" spans="2:34">
      <c r="B129" s="299" t="s">
        <v>56</v>
      </c>
      <c r="C129" s="290"/>
      <c r="D129" s="290"/>
      <c r="E129" s="290"/>
      <c r="F129" s="290"/>
      <c r="G129" s="290"/>
      <c r="H129" s="290"/>
      <c r="I129" s="290"/>
      <c r="J129" s="290"/>
      <c r="K129" s="290"/>
      <c r="L129" s="290"/>
      <c r="M129" s="291"/>
      <c r="N129" s="292"/>
      <c r="O129" s="292"/>
      <c r="P129" s="292"/>
      <c r="Q129" s="293"/>
      <c r="R129" s="294"/>
      <c r="S129" s="295"/>
      <c r="T129" s="292"/>
      <c r="U129" s="298"/>
      <c r="V129" s="298"/>
      <c r="W129" s="298"/>
      <c r="X129" s="296"/>
      <c r="Y129" s="296"/>
      <c r="Z129" s="297"/>
      <c r="AA129" s="296"/>
      <c r="AB129" s="296"/>
      <c r="AC129" s="296"/>
      <c r="AD129" s="296"/>
      <c r="AE129" s="296"/>
      <c r="AF129" s="296"/>
      <c r="AG129" s="296"/>
      <c r="AH129" s="296"/>
    </row>
    <row r="130" spans="2:34">
      <c r="M130" s="59"/>
      <c r="Q130" s="59"/>
      <c r="R130" s="59"/>
      <c r="S130" s="22"/>
      <c r="Y130" s="22"/>
      <c r="Z130" s="59"/>
      <c r="AA130" s="22"/>
      <c r="AB130" s="22"/>
      <c r="AC130" s="22"/>
      <c r="AD130" s="22"/>
      <c r="AE130" s="22"/>
      <c r="AF130" s="22"/>
      <c r="AG130" s="22"/>
      <c r="AH130" s="22"/>
    </row>
    <row r="131" spans="2:34">
      <c r="B131" s="87" t="s">
        <v>201</v>
      </c>
      <c r="M131" s="59"/>
      <c r="Q131" s="59"/>
      <c r="R131" s="59"/>
      <c r="S131" s="22"/>
      <c r="Y131" s="22"/>
      <c r="Z131" s="59"/>
      <c r="AA131" s="22">
        <f t="shared" ref="AA131:AH131" si="136">0.028*AA40</f>
        <v>22.200119541249997</v>
      </c>
      <c r="AB131" s="22">
        <f>0.028*AB40</f>
        <v>21.865098270465605</v>
      </c>
      <c r="AC131" s="22">
        <f t="shared" si="136"/>
        <v>22.141797701474431</v>
      </c>
      <c r="AD131" s="22">
        <f t="shared" si="136"/>
        <v>22.647632184695109</v>
      </c>
      <c r="AE131" s="22">
        <f t="shared" si="136"/>
        <v>23.359607538804198</v>
      </c>
      <c r="AF131" s="22">
        <f t="shared" si="136"/>
        <v>24.274515439437884</v>
      </c>
      <c r="AG131" s="22">
        <f t="shared" si="136"/>
        <v>25.39034820512687</v>
      </c>
      <c r="AH131" s="22">
        <f t="shared" si="136"/>
        <v>26.693501777846979</v>
      </c>
    </row>
    <row r="132" spans="2:34">
      <c r="B132" s="87" t="s">
        <v>202</v>
      </c>
      <c r="M132" s="59"/>
      <c r="Q132" s="59"/>
      <c r="R132" s="59"/>
      <c r="S132" s="22"/>
      <c r="Y132" s="22"/>
      <c r="Z132" s="59"/>
      <c r="AA132" s="22">
        <f>Tax!D37</f>
        <v>0</v>
      </c>
      <c r="AB132" s="22">
        <f>Tax!E37</f>
        <v>-1.8829382497642657E-14</v>
      </c>
      <c r="AC132" s="22">
        <f>Tax!F37</f>
        <v>3.0127011996228249E-14</v>
      </c>
      <c r="AD132" s="22">
        <f>Tax!G37</f>
        <v>-3.0127011996228249E-14</v>
      </c>
      <c r="AE132" s="22">
        <f>Tax!H37</f>
        <v>0</v>
      </c>
      <c r="AF132" s="22">
        <f>Tax!I37</f>
        <v>47.025181908091355</v>
      </c>
      <c r="AG132" s="22">
        <f>Tax!J37</f>
        <v>74.099266402142405</v>
      </c>
      <c r="AH132" s="22">
        <f>Tax!K37</f>
        <v>90.346437183001171</v>
      </c>
    </row>
    <row r="133" spans="2:34">
      <c r="M133" s="59"/>
      <c r="Q133" s="59"/>
      <c r="R133" s="59"/>
      <c r="S133" s="22"/>
      <c r="Y133" s="22"/>
      <c r="Z133" s="59"/>
      <c r="AA133" s="22"/>
      <c r="AB133" s="22"/>
      <c r="AC133" s="22"/>
      <c r="AD133" s="22"/>
      <c r="AE133" s="22"/>
      <c r="AF133" s="22"/>
      <c r="AG133" s="22"/>
      <c r="AH133" s="22"/>
    </row>
    <row r="134" spans="2:34">
      <c r="B134" s="87" t="s">
        <v>60</v>
      </c>
      <c r="C134" s="127"/>
      <c r="D134" s="127"/>
      <c r="E134" s="127"/>
      <c r="F134" s="127"/>
      <c r="G134" s="127"/>
      <c r="H134" s="22">
        <v>113</v>
      </c>
      <c r="I134" s="22">
        <v>30</v>
      </c>
      <c r="J134" s="22">
        <v>64</v>
      </c>
      <c r="K134" s="22">
        <v>162</v>
      </c>
      <c r="L134" s="22">
        <v>130</v>
      </c>
      <c r="M134" s="59">
        <v>111</v>
      </c>
      <c r="N134" s="127"/>
      <c r="O134" s="127"/>
      <c r="P134" s="127"/>
      <c r="Q134" s="126"/>
      <c r="R134" s="59">
        <v>79</v>
      </c>
      <c r="S134" s="127"/>
      <c r="T134" s="127"/>
      <c r="U134" s="127"/>
      <c r="V134" s="127"/>
      <c r="W134" s="127"/>
      <c r="X134" s="127"/>
      <c r="Y134" s="127"/>
      <c r="Z134" s="126"/>
      <c r="AA134" s="127"/>
      <c r="AB134" s="127"/>
      <c r="AC134" s="127"/>
      <c r="AD134" s="127"/>
      <c r="AE134" s="127"/>
      <c r="AF134" s="127"/>
      <c r="AG134" s="127"/>
      <c r="AH134" s="127"/>
    </row>
    <row r="135" spans="2:34">
      <c r="B135" s="87" t="s">
        <v>61</v>
      </c>
      <c r="C135" s="130"/>
      <c r="D135" s="130"/>
      <c r="E135" s="130"/>
      <c r="F135" s="130"/>
      <c r="G135" s="130"/>
      <c r="H135" s="24">
        <v>0</v>
      </c>
      <c r="I135" s="24">
        <v>16</v>
      </c>
      <c r="J135" s="24">
        <v>-8</v>
      </c>
      <c r="K135" s="24">
        <v>-12</v>
      </c>
      <c r="L135" s="24">
        <v>-9</v>
      </c>
      <c r="M135" s="60">
        <v>-2</v>
      </c>
      <c r="N135" s="130"/>
      <c r="O135" s="130"/>
      <c r="P135" s="130"/>
      <c r="Q135" s="131"/>
      <c r="R135" s="60">
        <v>10</v>
      </c>
      <c r="S135" s="130"/>
      <c r="T135" s="130"/>
      <c r="U135" s="130"/>
      <c r="V135" s="130"/>
      <c r="W135" s="130"/>
      <c r="X135" s="130"/>
      <c r="Y135" s="130"/>
      <c r="Z135" s="131"/>
      <c r="AA135" s="130"/>
      <c r="AB135" s="130"/>
      <c r="AC135" s="130"/>
      <c r="AD135" s="130"/>
      <c r="AE135" s="130"/>
      <c r="AF135" s="130"/>
      <c r="AG135" s="130"/>
      <c r="AH135" s="130"/>
    </row>
    <row r="136" spans="2:34">
      <c r="B136" s="90" t="s">
        <v>56</v>
      </c>
      <c r="C136" s="17">
        <f t="shared" ref="C136:L136" si="137">C134+C135</f>
        <v>0</v>
      </c>
      <c r="D136" s="17">
        <f t="shared" si="137"/>
        <v>0</v>
      </c>
      <c r="E136" s="17">
        <f t="shared" si="137"/>
        <v>0</v>
      </c>
      <c r="F136" s="17">
        <f t="shared" si="137"/>
        <v>0</v>
      </c>
      <c r="G136" s="17">
        <f t="shared" si="137"/>
        <v>0</v>
      </c>
      <c r="H136" s="17">
        <f t="shared" si="137"/>
        <v>113</v>
      </c>
      <c r="I136" s="17">
        <f t="shared" si="137"/>
        <v>46</v>
      </c>
      <c r="J136" s="17">
        <f t="shared" si="137"/>
        <v>56</v>
      </c>
      <c r="K136" s="17">
        <f t="shared" si="137"/>
        <v>150</v>
      </c>
      <c r="L136" s="17">
        <f t="shared" si="137"/>
        <v>121</v>
      </c>
      <c r="M136" s="94">
        <f>M134+M135</f>
        <v>109</v>
      </c>
      <c r="N136" s="17">
        <f t="shared" ref="N136:AH136" si="138">N134+N135</f>
        <v>0</v>
      </c>
      <c r="O136" s="17">
        <f t="shared" si="138"/>
        <v>0</v>
      </c>
      <c r="P136" s="17">
        <f t="shared" si="138"/>
        <v>0</v>
      </c>
      <c r="Q136" s="94">
        <f t="shared" si="138"/>
        <v>0</v>
      </c>
      <c r="R136" s="94">
        <f t="shared" si="138"/>
        <v>89</v>
      </c>
      <c r="S136" s="96">
        <f t="shared" si="138"/>
        <v>0</v>
      </c>
      <c r="T136" s="17">
        <f t="shared" ref="T136" si="139">T134+T135</f>
        <v>0</v>
      </c>
      <c r="U136" s="17"/>
      <c r="V136" s="17"/>
      <c r="W136" s="17"/>
      <c r="X136" s="17"/>
      <c r="Y136" s="96">
        <f t="shared" si="138"/>
        <v>0</v>
      </c>
      <c r="Z136" s="94">
        <f t="shared" si="138"/>
        <v>0</v>
      </c>
      <c r="AA136" s="96">
        <f t="shared" si="138"/>
        <v>0</v>
      </c>
      <c r="AB136" s="96">
        <f t="shared" si="138"/>
        <v>0</v>
      </c>
      <c r="AC136" s="96">
        <f t="shared" si="138"/>
        <v>0</v>
      </c>
      <c r="AD136" s="96">
        <f t="shared" si="138"/>
        <v>0</v>
      </c>
      <c r="AE136" s="96">
        <f t="shared" si="138"/>
        <v>0</v>
      </c>
      <c r="AF136" s="96">
        <f t="shared" si="138"/>
        <v>0</v>
      </c>
      <c r="AG136" s="96">
        <f t="shared" si="138"/>
        <v>0</v>
      </c>
      <c r="AH136" s="96">
        <f t="shared" si="138"/>
        <v>0</v>
      </c>
    </row>
    <row r="137" spans="2:34">
      <c r="M137" s="59"/>
      <c r="Q137" s="59"/>
      <c r="R137" s="59"/>
      <c r="S137" s="22"/>
      <c r="Y137" s="22"/>
      <c r="Z137" s="59"/>
      <c r="AA137" s="22"/>
      <c r="AB137" s="22"/>
      <c r="AC137" s="22"/>
      <c r="AD137" s="22"/>
      <c r="AE137" s="22"/>
      <c r="AF137" s="22"/>
      <c r="AG137" s="22"/>
      <c r="AH137" s="22"/>
    </row>
    <row r="138" spans="2:34">
      <c r="B138" s="90" t="s">
        <v>62</v>
      </c>
      <c r="C138" s="17">
        <v>216</v>
      </c>
      <c r="D138" s="17">
        <v>244</v>
      </c>
      <c r="E138" s="17">
        <v>246</v>
      </c>
      <c r="F138" s="17">
        <v>229</v>
      </c>
      <c r="G138" s="17">
        <v>218</v>
      </c>
      <c r="H138" s="17">
        <v>205</v>
      </c>
      <c r="I138" s="17">
        <v>170</v>
      </c>
      <c r="J138" s="17">
        <v>201</v>
      </c>
      <c r="K138" s="17">
        <v>223</v>
      </c>
      <c r="L138" s="17">
        <v>230</v>
      </c>
      <c r="M138" s="94">
        <v>242</v>
      </c>
      <c r="N138" s="134"/>
      <c r="O138" s="134"/>
      <c r="P138" s="134"/>
      <c r="Q138" s="135"/>
      <c r="R138" s="94">
        <v>222</v>
      </c>
      <c r="S138" s="136"/>
      <c r="T138" s="134"/>
      <c r="U138" s="134"/>
      <c r="V138" s="134"/>
      <c r="W138" s="134"/>
      <c r="X138" s="134"/>
      <c r="Y138" s="96">
        <f>Y40*Y210</f>
        <v>48.914097499999983</v>
      </c>
      <c r="Z138" s="94">
        <f>Z40*Z210</f>
        <v>47.376676729687496</v>
      </c>
      <c r="AA138" s="136"/>
      <c r="AB138" s="96">
        <f t="shared" ref="AB138:AH138" si="140">AB40*AB210</f>
        <v>206.93753720262089</v>
      </c>
      <c r="AC138" s="96">
        <f t="shared" si="140"/>
        <v>209.55629967466874</v>
      </c>
      <c r="AD138" s="96">
        <f t="shared" si="140"/>
        <v>214.34366174800729</v>
      </c>
      <c r="AE138" s="96">
        <f t="shared" si="140"/>
        <v>221.08199992082544</v>
      </c>
      <c r="AF138" s="96">
        <f t="shared" si="140"/>
        <v>229.74094969467998</v>
      </c>
      <c r="AG138" s="96">
        <f t="shared" si="140"/>
        <v>240.30150979852218</v>
      </c>
      <c r="AH138" s="96">
        <f t="shared" si="140"/>
        <v>252.63492754033749</v>
      </c>
    </row>
    <row r="139" spans="2:34">
      <c r="B139" s="87" t="s">
        <v>63</v>
      </c>
      <c r="C139" s="5">
        <v>-16</v>
      </c>
      <c r="D139" s="5">
        <v>-7</v>
      </c>
      <c r="E139" s="5">
        <v>1</v>
      </c>
      <c r="F139" s="5">
        <v>-3</v>
      </c>
      <c r="G139" s="5">
        <v>-9</v>
      </c>
      <c r="H139" s="5">
        <v>-32</v>
      </c>
      <c r="I139" s="5">
        <v>-74</v>
      </c>
      <c r="J139" s="5">
        <v>-82</v>
      </c>
      <c r="K139" s="5">
        <v>-34</v>
      </c>
      <c r="L139" s="5">
        <v>-42</v>
      </c>
      <c r="M139" s="59">
        <v>-72</v>
      </c>
      <c r="N139" s="125"/>
      <c r="O139" s="125"/>
      <c r="P139" s="125"/>
      <c r="Q139" s="126"/>
      <c r="R139" s="59">
        <v>-72</v>
      </c>
      <c r="S139" s="127"/>
      <c r="T139" s="125"/>
      <c r="U139" s="125"/>
      <c r="V139" s="125"/>
      <c r="W139" s="125"/>
      <c r="X139" s="125"/>
      <c r="Y139" s="137">
        <f>R139/4</f>
        <v>-18</v>
      </c>
      <c r="Z139" s="138">
        <f>Y139</f>
        <v>-18</v>
      </c>
      <c r="AA139" s="127"/>
      <c r="AB139" s="139">
        <f>R139</f>
        <v>-72</v>
      </c>
      <c r="AC139" s="140">
        <f>AB139</f>
        <v>-72</v>
      </c>
      <c r="AD139" s="140">
        <f t="shared" ref="AD139:AG139" si="141">AC139</f>
        <v>-72</v>
      </c>
      <c r="AE139" s="140">
        <f t="shared" si="141"/>
        <v>-72</v>
      </c>
      <c r="AF139" s="140">
        <f t="shared" si="141"/>
        <v>-72</v>
      </c>
      <c r="AG139" s="140">
        <f t="shared" si="141"/>
        <v>-72</v>
      </c>
      <c r="AH139" s="141">
        <f>AG139</f>
        <v>-72</v>
      </c>
    </row>
    <row r="140" spans="2:34">
      <c r="B140" s="87" t="s">
        <v>42</v>
      </c>
      <c r="C140" s="5">
        <v>0</v>
      </c>
      <c r="D140" s="5">
        <v>-23</v>
      </c>
      <c r="E140" s="5">
        <v>-25</v>
      </c>
      <c r="F140" s="5">
        <v>-16</v>
      </c>
      <c r="G140" s="5">
        <v>-13</v>
      </c>
      <c r="H140" s="5">
        <v>-13</v>
      </c>
      <c r="I140" s="5">
        <v>-15</v>
      </c>
      <c r="J140" s="5">
        <v>-18</v>
      </c>
      <c r="K140" s="5">
        <v>-17</v>
      </c>
      <c r="L140" s="5">
        <v>-23</v>
      </c>
      <c r="M140" s="59">
        <v>-23</v>
      </c>
      <c r="N140" s="125"/>
      <c r="O140" s="125"/>
      <c r="P140" s="125"/>
      <c r="Q140" s="126"/>
      <c r="R140" s="59">
        <v>-24</v>
      </c>
      <c r="S140" s="127"/>
      <c r="T140" s="125"/>
      <c r="U140" s="125"/>
      <c r="V140" s="125"/>
      <c r="W140" s="125"/>
      <c r="X140" s="125"/>
      <c r="Y140" s="137">
        <f>R140/4</f>
        <v>-6</v>
      </c>
      <c r="Z140" s="138">
        <f>Y140</f>
        <v>-6</v>
      </c>
      <c r="AA140" s="127"/>
      <c r="AB140" s="137">
        <f>R140</f>
        <v>-24</v>
      </c>
      <c r="AC140" s="137">
        <f t="shared" ref="AC140:AH142" si="142">AB140</f>
        <v>-24</v>
      </c>
      <c r="AD140" s="137">
        <f t="shared" si="142"/>
        <v>-24</v>
      </c>
      <c r="AE140" s="137">
        <f t="shared" si="142"/>
        <v>-24</v>
      </c>
      <c r="AF140" s="137">
        <f t="shared" si="142"/>
        <v>-24</v>
      </c>
      <c r="AG140" s="137">
        <f t="shared" si="142"/>
        <v>-24</v>
      </c>
      <c r="AH140" s="137">
        <f t="shared" si="142"/>
        <v>-24</v>
      </c>
    </row>
    <row r="141" spans="2:34">
      <c r="B141" s="87" t="s">
        <v>39</v>
      </c>
      <c r="C141" s="5">
        <v>-7</v>
      </c>
      <c r="D141" s="5">
        <v>-8</v>
      </c>
      <c r="E141" s="5">
        <v>-11</v>
      </c>
      <c r="F141" s="5">
        <v>-13</v>
      </c>
      <c r="G141" s="5">
        <v>-9</v>
      </c>
      <c r="H141" s="5">
        <v>-11</v>
      </c>
      <c r="I141" s="5">
        <v>-19</v>
      </c>
      <c r="J141" s="5">
        <v>-17</v>
      </c>
      <c r="K141" s="5">
        <v>-16</v>
      </c>
      <c r="L141" s="5">
        <v>-15</v>
      </c>
      <c r="M141" s="59">
        <v>-13</v>
      </c>
      <c r="N141" s="125"/>
      <c r="O141" s="125"/>
      <c r="P141" s="125"/>
      <c r="Q141" s="126"/>
      <c r="R141" s="59">
        <v>-13</v>
      </c>
      <c r="S141" s="127"/>
      <c r="T141" s="125"/>
      <c r="U141" s="125"/>
      <c r="V141" s="125"/>
      <c r="W141" s="125"/>
      <c r="X141" s="125"/>
      <c r="Y141" s="137">
        <v>0</v>
      </c>
      <c r="Z141" s="138">
        <v>0</v>
      </c>
      <c r="AA141" s="127"/>
      <c r="AB141" s="137">
        <f>R141</f>
        <v>-13</v>
      </c>
      <c r="AC141" s="137">
        <f t="shared" si="142"/>
        <v>-13</v>
      </c>
      <c r="AD141" s="137">
        <f t="shared" si="142"/>
        <v>-13</v>
      </c>
      <c r="AE141" s="137">
        <f t="shared" si="142"/>
        <v>-13</v>
      </c>
      <c r="AF141" s="137">
        <f t="shared" si="142"/>
        <v>-13</v>
      </c>
      <c r="AG141" s="137">
        <f t="shared" si="142"/>
        <v>-13</v>
      </c>
      <c r="AH141" s="137">
        <f t="shared" si="142"/>
        <v>-13</v>
      </c>
    </row>
    <row r="142" spans="2:34">
      <c r="B142" s="87" t="s">
        <v>64</v>
      </c>
      <c r="C142" s="5">
        <v>0</v>
      </c>
      <c r="D142" s="5">
        <v>0</v>
      </c>
      <c r="E142" s="5">
        <v>-10</v>
      </c>
      <c r="F142" s="5">
        <v>-11</v>
      </c>
      <c r="G142" s="5">
        <v>-12</v>
      </c>
      <c r="H142" s="5">
        <v>-12</v>
      </c>
      <c r="I142" s="5">
        <v>-14</v>
      </c>
      <c r="J142" s="5">
        <v>-13</v>
      </c>
      <c r="K142" s="5">
        <v>-12</v>
      </c>
      <c r="L142" s="5">
        <v>-14</v>
      </c>
      <c r="M142" s="59">
        <v>-14</v>
      </c>
      <c r="N142" s="125"/>
      <c r="O142" s="125"/>
      <c r="P142" s="125"/>
      <c r="Q142" s="126"/>
      <c r="R142" s="59">
        <v>-15</v>
      </c>
      <c r="S142" s="127"/>
      <c r="T142" s="125"/>
      <c r="U142" s="125"/>
      <c r="V142" s="125"/>
      <c r="W142" s="125"/>
      <c r="X142" s="125"/>
      <c r="Y142" s="137">
        <v>0</v>
      </c>
      <c r="Z142" s="138">
        <v>0</v>
      </c>
      <c r="AA142" s="127"/>
      <c r="AB142" s="137">
        <f>R142</f>
        <v>-15</v>
      </c>
      <c r="AC142" s="137">
        <f t="shared" si="142"/>
        <v>-15</v>
      </c>
      <c r="AD142" s="137">
        <f t="shared" si="142"/>
        <v>-15</v>
      </c>
      <c r="AE142" s="137">
        <f t="shared" si="142"/>
        <v>-15</v>
      </c>
      <c r="AF142" s="137">
        <f t="shared" si="142"/>
        <v>-15</v>
      </c>
      <c r="AG142" s="137">
        <f t="shared" si="142"/>
        <v>-15</v>
      </c>
      <c r="AH142" s="137">
        <f t="shared" si="142"/>
        <v>-15</v>
      </c>
    </row>
    <row r="143" spans="2:34">
      <c r="B143" s="87" t="s">
        <v>65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-2</v>
      </c>
      <c r="M143" s="59">
        <v>-8</v>
      </c>
      <c r="N143" s="125"/>
      <c r="O143" s="125"/>
      <c r="P143" s="125"/>
      <c r="Q143" s="126"/>
      <c r="R143" s="59">
        <v>-4</v>
      </c>
      <c r="S143" s="127"/>
      <c r="T143" s="125"/>
      <c r="U143" s="125"/>
      <c r="V143" s="125"/>
      <c r="W143" s="125"/>
      <c r="X143" s="125"/>
      <c r="Y143" s="137">
        <v>0</v>
      </c>
      <c r="Z143" s="138">
        <v>0</v>
      </c>
      <c r="AA143" s="127"/>
      <c r="AB143" s="137">
        <v>0</v>
      </c>
      <c r="AC143" s="137">
        <v>0</v>
      </c>
      <c r="AD143" s="137">
        <v>0</v>
      </c>
      <c r="AE143" s="137">
        <v>0</v>
      </c>
      <c r="AF143" s="137">
        <v>0</v>
      </c>
      <c r="AG143" s="137">
        <v>0</v>
      </c>
      <c r="AH143" s="137">
        <v>0</v>
      </c>
    </row>
    <row r="144" spans="2:34">
      <c r="B144" s="87" t="s">
        <v>66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-8</v>
      </c>
      <c r="M144" s="59">
        <v>-4</v>
      </c>
      <c r="N144" s="125"/>
      <c r="O144" s="125"/>
      <c r="P144" s="125"/>
      <c r="Q144" s="126"/>
      <c r="R144" s="59">
        <v>-3</v>
      </c>
      <c r="S144" s="127"/>
      <c r="T144" s="125"/>
      <c r="U144" s="125"/>
      <c r="V144" s="125"/>
      <c r="W144" s="125"/>
      <c r="X144" s="125"/>
      <c r="Y144" s="137">
        <v>0</v>
      </c>
      <c r="Z144" s="138">
        <v>0</v>
      </c>
      <c r="AA144" s="127"/>
      <c r="AB144" s="137">
        <v>0</v>
      </c>
      <c r="AC144" s="137">
        <v>0</v>
      </c>
      <c r="AD144" s="137">
        <v>0</v>
      </c>
      <c r="AE144" s="137">
        <v>0</v>
      </c>
      <c r="AF144" s="137">
        <v>0</v>
      </c>
      <c r="AG144" s="137">
        <v>0</v>
      </c>
      <c r="AH144" s="137">
        <v>0</v>
      </c>
    </row>
    <row r="145" spans="1:34">
      <c r="B145" s="87" t="s">
        <v>15</v>
      </c>
      <c r="C145" s="5">
        <v>-8</v>
      </c>
      <c r="D145" s="5">
        <v>-6</v>
      </c>
      <c r="E145" s="5">
        <v>-5</v>
      </c>
      <c r="F145" s="5">
        <v>-6</v>
      </c>
      <c r="G145" s="5">
        <v>-4</v>
      </c>
      <c r="H145" s="5">
        <v>-5</v>
      </c>
      <c r="I145" s="5">
        <v>-3</v>
      </c>
      <c r="J145" s="5">
        <v>-5</v>
      </c>
      <c r="K145" s="5">
        <v>-4</v>
      </c>
      <c r="L145" s="5">
        <v>-5</v>
      </c>
      <c r="M145" s="59">
        <v>-4</v>
      </c>
      <c r="N145" s="125"/>
      <c r="O145" s="125"/>
      <c r="P145" s="125"/>
      <c r="Q145" s="126"/>
      <c r="R145" s="59">
        <v>-4</v>
      </c>
      <c r="S145" s="127"/>
      <c r="T145" s="125"/>
      <c r="U145" s="125"/>
      <c r="V145" s="125"/>
      <c r="W145" s="125"/>
      <c r="X145" s="125"/>
      <c r="Y145" s="137">
        <v>0</v>
      </c>
      <c r="Z145" s="138">
        <v>0</v>
      </c>
      <c r="AA145" s="127"/>
      <c r="AB145" s="137">
        <v>0</v>
      </c>
      <c r="AC145" s="137">
        <v>0</v>
      </c>
      <c r="AD145" s="137">
        <v>0</v>
      </c>
      <c r="AE145" s="137">
        <v>0</v>
      </c>
      <c r="AF145" s="137">
        <v>0</v>
      </c>
      <c r="AG145" s="137">
        <v>0</v>
      </c>
      <c r="AH145" s="137">
        <v>0</v>
      </c>
    </row>
    <row r="146" spans="1:34">
      <c r="B146" s="87" t="s">
        <v>67</v>
      </c>
      <c r="C146" s="22">
        <v>9</v>
      </c>
      <c r="D146" s="22">
        <v>9</v>
      </c>
      <c r="E146" s="22">
        <v>8</v>
      </c>
      <c r="F146" s="22">
        <v>14</v>
      </c>
      <c r="G146" s="22">
        <v>7</v>
      </c>
      <c r="H146" s="22">
        <v>6</v>
      </c>
      <c r="I146" s="22">
        <v>1</v>
      </c>
      <c r="J146" s="22">
        <v>3</v>
      </c>
      <c r="K146" s="22">
        <v>5</v>
      </c>
      <c r="L146" s="22">
        <v>0</v>
      </c>
      <c r="M146" s="59">
        <v>4</v>
      </c>
      <c r="N146" s="127"/>
      <c r="O146" s="127"/>
      <c r="P146" s="127"/>
      <c r="Q146" s="126"/>
      <c r="R146" s="59">
        <v>3</v>
      </c>
      <c r="S146" s="127"/>
      <c r="T146" s="127"/>
      <c r="U146" s="127"/>
      <c r="V146" s="127"/>
      <c r="W146" s="127"/>
      <c r="X146" s="127"/>
      <c r="Y146" s="137">
        <v>0</v>
      </c>
      <c r="Z146" s="138">
        <v>0</v>
      </c>
      <c r="AA146" s="127"/>
      <c r="AB146" s="137">
        <v>0</v>
      </c>
      <c r="AC146" s="137">
        <v>0</v>
      </c>
      <c r="AD146" s="137">
        <v>0</v>
      </c>
      <c r="AE146" s="137">
        <v>0</v>
      </c>
      <c r="AF146" s="137">
        <v>0</v>
      </c>
      <c r="AG146" s="137">
        <v>0</v>
      </c>
      <c r="AH146" s="137">
        <v>0</v>
      </c>
    </row>
    <row r="147" spans="1:34">
      <c r="B147" s="87" t="s">
        <v>3</v>
      </c>
      <c r="C147" s="24">
        <f>-10+18-9</f>
        <v>-1</v>
      </c>
      <c r="D147" s="24">
        <f>-33-9+10</f>
        <v>-32</v>
      </c>
      <c r="E147" s="24">
        <f>-21+1+14</f>
        <v>-6</v>
      </c>
      <c r="F147" s="24">
        <f>12+2-30+2-1</f>
        <v>-15</v>
      </c>
      <c r="G147" s="24">
        <f>25+17-10</f>
        <v>32</v>
      </c>
      <c r="H147" s="24">
        <f>-34+15-8+2</f>
        <v>-25</v>
      </c>
      <c r="I147" s="24">
        <f>-6+4+2</f>
        <v>0</v>
      </c>
      <c r="J147" s="24">
        <f>-15+2</f>
        <v>-13</v>
      </c>
      <c r="K147" s="24">
        <f>3+2</f>
        <v>5</v>
      </c>
      <c r="L147" s="24">
        <v>0</v>
      </c>
      <c r="M147" s="60">
        <f>-1+2</f>
        <v>1</v>
      </c>
      <c r="N147" s="130"/>
      <c r="O147" s="130"/>
      <c r="P147" s="130"/>
      <c r="Q147" s="131"/>
      <c r="R147" s="60">
        <v>-1</v>
      </c>
      <c r="S147" s="130"/>
      <c r="T147" s="130"/>
      <c r="U147" s="130"/>
      <c r="V147" s="130"/>
      <c r="W147" s="130"/>
      <c r="X147" s="130"/>
      <c r="Y147" s="142">
        <v>0</v>
      </c>
      <c r="Z147" s="143">
        <v>0</v>
      </c>
      <c r="AA147" s="130"/>
      <c r="AB147" s="142">
        <v>0</v>
      </c>
      <c r="AC147" s="142">
        <v>0</v>
      </c>
      <c r="AD147" s="142">
        <v>0</v>
      </c>
      <c r="AE147" s="142">
        <v>0</v>
      </c>
      <c r="AF147" s="142">
        <v>0</v>
      </c>
      <c r="AG147" s="142">
        <v>0</v>
      </c>
      <c r="AH147" s="142">
        <v>0</v>
      </c>
    </row>
    <row r="148" spans="1:34">
      <c r="B148" s="90" t="s">
        <v>68</v>
      </c>
      <c r="C148" s="17">
        <f t="shared" ref="C148:L148" si="143">SUM(C138:C147)</f>
        <v>193</v>
      </c>
      <c r="D148" s="17">
        <f t="shared" si="143"/>
        <v>177</v>
      </c>
      <c r="E148" s="17">
        <f t="shared" si="143"/>
        <v>198</v>
      </c>
      <c r="F148" s="17">
        <f t="shared" si="143"/>
        <v>179</v>
      </c>
      <c r="G148" s="17">
        <f t="shared" si="143"/>
        <v>210</v>
      </c>
      <c r="H148" s="17">
        <f>SUM(H138:H147)</f>
        <v>113</v>
      </c>
      <c r="I148" s="17">
        <f t="shared" si="143"/>
        <v>46</v>
      </c>
      <c r="J148" s="17">
        <f t="shared" si="143"/>
        <v>56</v>
      </c>
      <c r="K148" s="17">
        <f t="shared" si="143"/>
        <v>150</v>
      </c>
      <c r="L148" s="17">
        <f t="shared" si="143"/>
        <v>121</v>
      </c>
      <c r="M148" s="94">
        <f t="shared" ref="M148:AG148" si="144">SUM(M138:M147)</f>
        <v>109</v>
      </c>
      <c r="N148" s="17">
        <f t="shared" si="144"/>
        <v>0</v>
      </c>
      <c r="O148" s="17">
        <f t="shared" si="144"/>
        <v>0</v>
      </c>
      <c r="P148" s="17">
        <f t="shared" si="144"/>
        <v>0</v>
      </c>
      <c r="Q148" s="94">
        <f t="shared" si="144"/>
        <v>0</v>
      </c>
      <c r="R148" s="94">
        <f t="shared" si="144"/>
        <v>89</v>
      </c>
      <c r="S148" s="96">
        <f t="shared" si="144"/>
        <v>0</v>
      </c>
      <c r="T148" s="17">
        <f t="shared" ref="T148" si="145">SUM(T138:T147)</f>
        <v>0</v>
      </c>
      <c r="U148" s="17"/>
      <c r="V148" s="17"/>
      <c r="W148" s="17"/>
      <c r="X148" s="17"/>
      <c r="Y148" s="96">
        <f>SUM(Y138:Y147)</f>
        <v>24.914097499999983</v>
      </c>
      <c r="Z148" s="94">
        <f>SUM(Z138:Z147)</f>
        <v>23.376676729687496</v>
      </c>
      <c r="AA148" s="96">
        <f t="shared" si="144"/>
        <v>0</v>
      </c>
      <c r="AB148" s="96">
        <f t="shared" si="144"/>
        <v>82.937537202620888</v>
      </c>
      <c r="AC148" s="96">
        <f t="shared" si="144"/>
        <v>85.556299674668736</v>
      </c>
      <c r="AD148" s="96">
        <f t="shared" si="144"/>
        <v>90.343661748007293</v>
      </c>
      <c r="AE148" s="96">
        <f t="shared" si="144"/>
        <v>97.081999920825439</v>
      </c>
      <c r="AF148" s="96">
        <f t="shared" si="144"/>
        <v>105.74094969467998</v>
      </c>
      <c r="AG148" s="96">
        <f t="shared" si="144"/>
        <v>116.30150979852218</v>
      </c>
      <c r="AH148" s="96">
        <f>SUM(AH138:AH147)</f>
        <v>128.63492754033749</v>
      </c>
    </row>
    <row r="149" spans="1:34">
      <c r="A149" s="90"/>
      <c r="B149" s="90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94"/>
      <c r="N149" s="17"/>
      <c r="O149" s="17"/>
      <c r="P149" s="17"/>
      <c r="Q149" s="94"/>
      <c r="R149" s="94"/>
      <c r="S149" s="96"/>
      <c r="T149" s="96"/>
      <c r="U149" s="96"/>
      <c r="V149" s="96"/>
      <c r="W149" s="96"/>
      <c r="X149" s="96"/>
      <c r="Y149" s="96"/>
      <c r="Z149" s="94"/>
      <c r="AA149" s="96"/>
      <c r="AB149" s="96"/>
      <c r="AC149" s="96"/>
      <c r="AD149" s="96"/>
      <c r="AE149" s="96"/>
      <c r="AF149" s="96"/>
      <c r="AG149" s="96"/>
      <c r="AH149" s="96"/>
    </row>
    <row r="150" spans="1:34">
      <c r="B150" s="299" t="s">
        <v>28</v>
      </c>
      <c r="C150" s="290"/>
      <c r="D150" s="290"/>
      <c r="E150" s="290"/>
      <c r="F150" s="290"/>
      <c r="G150" s="290"/>
      <c r="H150" s="290"/>
      <c r="I150" s="290"/>
      <c r="J150" s="290"/>
      <c r="K150" s="290"/>
      <c r="L150" s="290"/>
      <c r="M150" s="291"/>
      <c r="N150" s="292"/>
      <c r="O150" s="292"/>
      <c r="P150" s="292"/>
      <c r="Q150" s="293"/>
      <c r="R150" s="294"/>
      <c r="S150" s="295"/>
      <c r="T150" s="292"/>
      <c r="U150" s="298"/>
      <c r="V150" s="298"/>
      <c r="W150" s="298"/>
      <c r="X150" s="296"/>
      <c r="Y150" s="296"/>
      <c r="Z150" s="297"/>
      <c r="AA150" s="296"/>
      <c r="AB150" s="296"/>
      <c r="AC150" s="296"/>
      <c r="AD150" s="296"/>
      <c r="AE150" s="296"/>
      <c r="AF150" s="296"/>
      <c r="AG150" s="296"/>
      <c r="AH150" s="296"/>
    </row>
    <row r="151" spans="1:34">
      <c r="M151" s="59"/>
      <c r="Q151" s="59"/>
      <c r="R151" s="59"/>
      <c r="S151" s="22"/>
      <c r="T151" s="22"/>
      <c r="U151" s="22"/>
      <c r="V151" s="22"/>
      <c r="W151" s="22"/>
      <c r="X151" s="22"/>
      <c r="Y151" s="22"/>
      <c r="Z151" s="59"/>
      <c r="AA151" s="22"/>
      <c r="AB151" s="22"/>
      <c r="AC151" s="22"/>
      <c r="AD151" s="22"/>
      <c r="AE151" s="22"/>
      <c r="AF151" s="22"/>
      <c r="AG151" s="22"/>
      <c r="AH151" s="22"/>
    </row>
    <row r="152" spans="1:34">
      <c r="B152" s="90" t="s">
        <v>52</v>
      </c>
      <c r="M152" s="59"/>
      <c r="Q152" s="59"/>
      <c r="R152" s="59"/>
      <c r="S152" s="22"/>
      <c r="T152" s="22"/>
      <c r="U152" s="22"/>
      <c r="V152" s="22"/>
      <c r="W152" s="22"/>
      <c r="X152" s="22"/>
      <c r="Y152" s="22"/>
      <c r="Z152" s="59"/>
      <c r="AA152" s="22"/>
      <c r="AB152" s="22"/>
      <c r="AC152" s="22"/>
      <c r="AD152" s="22"/>
      <c r="AE152" s="22"/>
      <c r="AF152" s="22"/>
      <c r="AG152" s="22"/>
      <c r="AH152" s="22"/>
    </row>
    <row r="153" spans="1:34">
      <c r="B153" s="87" t="s">
        <v>53</v>
      </c>
      <c r="C153" s="5">
        <v>7609</v>
      </c>
      <c r="D153" s="5">
        <v>7833</v>
      </c>
      <c r="E153" s="5">
        <v>8124</v>
      </c>
      <c r="F153" s="5">
        <v>8293</v>
      </c>
      <c r="G153" s="5">
        <v>8725</v>
      </c>
      <c r="H153" s="5">
        <v>8995</v>
      </c>
      <c r="I153" s="5">
        <v>9485</v>
      </c>
      <c r="J153" s="5">
        <v>10204</v>
      </c>
      <c r="K153" s="5">
        <v>10906</v>
      </c>
      <c r="L153" s="5">
        <v>11840</v>
      </c>
      <c r="M153" s="59">
        <v>12413</v>
      </c>
      <c r="N153" s="125"/>
      <c r="O153" s="125"/>
      <c r="P153" s="125"/>
      <c r="Q153" s="126"/>
      <c r="R153" s="59">
        <v>13209</v>
      </c>
      <c r="S153" s="22">
        <f>R153-S176</f>
        <v>13341</v>
      </c>
      <c r="T153" s="22">
        <f>S153-T176</f>
        <v>13575</v>
      </c>
      <c r="U153" s="22"/>
      <c r="V153" s="22"/>
      <c r="W153" s="22"/>
      <c r="X153" s="22"/>
      <c r="Y153" s="22">
        <f>T153-Y176</f>
        <v>13841.5</v>
      </c>
      <c r="Z153" s="59">
        <f>Y153-Z176</f>
        <v>14108</v>
      </c>
      <c r="AA153" s="22">
        <f>Z153</f>
        <v>14108</v>
      </c>
      <c r="AB153" s="22">
        <f>AA153-AB176</f>
        <v>14974</v>
      </c>
      <c r="AC153" s="22">
        <f t="shared" ref="AC153:AH153" si="146">AB153-AC176</f>
        <v>15822</v>
      </c>
      <c r="AD153" s="22">
        <f t="shared" si="146"/>
        <v>16661</v>
      </c>
      <c r="AE153" s="22">
        <f t="shared" si="146"/>
        <v>17493</v>
      </c>
      <c r="AF153" s="22">
        <f t="shared" si="146"/>
        <v>18325</v>
      </c>
      <c r="AG153" s="22">
        <f t="shared" si="146"/>
        <v>19157</v>
      </c>
      <c r="AH153" s="22">
        <f t="shared" si="146"/>
        <v>19989</v>
      </c>
    </row>
    <row r="154" spans="1:34">
      <c r="B154" s="87" t="s">
        <v>5</v>
      </c>
      <c r="C154" s="22">
        <v>-2635</v>
      </c>
      <c r="D154" s="22">
        <v>-2753</v>
      </c>
      <c r="E154" s="22">
        <v>-2889</v>
      </c>
      <c r="F154" s="22">
        <v>-3024</v>
      </c>
      <c r="G154" s="22">
        <v>-3152</v>
      </c>
      <c r="H154" s="22">
        <v>-3307</v>
      </c>
      <c r="I154" s="22">
        <v>-3455</v>
      </c>
      <c r="J154" s="22">
        <v>-3626</v>
      </c>
      <c r="K154" s="22">
        <v>-3810</v>
      </c>
      <c r="L154" s="22">
        <v>-3990</v>
      </c>
      <c r="M154" s="59">
        <v>-4215</v>
      </c>
      <c r="N154" s="127"/>
      <c r="O154" s="127"/>
      <c r="P154" s="127"/>
      <c r="Q154" s="126"/>
      <c r="R154" s="59">
        <v>-4416</v>
      </c>
      <c r="S154" s="22">
        <f>R154+S24</f>
        <v>-4510</v>
      </c>
      <c r="T154" s="22">
        <f>S154+T24</f>
        <v>-4604</v>
      </c>
      <c r="U154" s="22"/>
      <c r="V154" s="22"/>
      <c r="W154" s="22"/>
      <c r="X154" s="22"/>
      <c r="Y154" s="22">
        <f>T154+Y24</f>
        <v>-4699.0249999999996</v>
      </c>
      <c r="Z154" s="59">
        <f>Y154+Z24</f>
        <v>-4795.9155000000001</v>
      </c>
      <c r="AA154" s="22">
        <f>Z154</f>
        <v>-4795.9155000000001</v>
      </c>
      <c r="AB154" s="22">
        <f t="shared" ref="AB154:AH154" si="147">AA154+AB24</f>
        <v>-5193.4388799999997</v>
      </c>
      <c r="AC154" s="22">
        <f t="shared" si="147"/>
        <v>-5609.7013247999994</v>
      </c>
      <c r="AD154" s="22">
        <f t="shared" si="147"/>
        <v>-6043.2332718079997</v>
      </c>
      <c r="AE154" s="22">
        <f t="shared" si="147"/>
        <v>-6492.98394093568</v>
      </c>
      <c r="AF154" s="22">
        <f t="shared" si="147"/>
        <v>-6958.0245832982528</v>
      </c>
      <c r="AG154" s="22">
        <f t="shared" si="147"/>
        <v>-7437.743599966323</v>
      </c>
      <c r="AH154" s="22">
        <f t="shared" si="147"/>
        <v>-7931.5538559676697</v>
      </c>
    </row>
    <row r="155" spans="1:34">
      <c r="B155" s="87" t="s">
        <v>35</v>
      </c>
      <c r="C155" s="24">
        <v>193</v>
      </c>
      <c r="D155" s="24">
        <v>249</v>
      </c>
      <c r="E155" s="24">
        <v>233</v>
      </c>
      <c r="F155" s="24">
        <v>359</v>
      </c>
      <c r="G155" s="24">
        <v>370</v>
      </c>
      <c r="H155" s="24">
        <v>659</v>
      </c>
      <c r="I155" s="24">
        <v>956</v>
      </c>
      <c r="J155" s="24">
        <v>1070</v>
      </c>
      <c r="K155" s="24">
        <v>1079</v>
      </c>
      <c r="L155" s="24">
        <v>641</v>
      </c>
      <c r="M155" s="60">
        <v>671</v>
      </c>
      <c r="N155" s="130"/>
      <c r="O155" s="130"/>
      <c r="P155" s="130"/>
      <c r="Q155" s="131"/>
      <c r="R155" s="60">
        <v>626</v>
      </c>
      <c r="S155" s="24">
        <f>R155</f>
        <v>626</v>
      </c>
      <c r="T155" s="24">
        <f>S155</f>
        <v>626</v>
      </c>
      <c r="U155" s="24"/>
      <c r="V155" s="24"/>
      <c r="W155" s="24"/>
      <c r="X155" s="24"/>
      <c r="Y155" s="24">
        <f>T155</f>
        <v>626</v>
      </c>
      <c r="Z155" s="60">
        <f>Y155</f>
        <v>626</v>
      </c>
      <c r="AA155" s="24">
        <f>Z155</f>
        <v>626</v>
      </c>
      <c r="AB155" s="24">
        <f t="shared" ref="AB155:AH155" si="148">AA155</f>
        <v>626</v>
      </c>
      <c r="AC155" s="24">
        <f t="shared" si="148"/>
        <v>626</v>
      </c>
      <c r="AD155" s="24">
        <f t="shared" si="148"/>
        <v>626</v>
      </c>
      <c r="AE155" s="24">
        <f t="shared" si="148"/>
        <v>626</v>
      </c>
      <c r="AF155" s="24">
        <f t="shared" si="148"/>
        <v>626</v>
      </c>
      <c r="AG155" s="24">
        <f t="shared" si="148"/>
        <v>626</v>
      </c>
      <c r="AH155" s="24">
        <f t="shared" si="148"/>
        <v>626</v>
      </c>
    </row>
    <row r="156" spans="1:34">
      <c r="C156" s="17">
        <f t="shared" ref="C156:L156" si="149">C153+C154+C155</f>
        <v>5167</v>
      </c>
      <c r="D156" s="17">
        <f t="shared" si="149"/>
        <v>5329</v>
      </c>
      <c r="E156" s="17">
        <f t="shared" si="149"/>
        <v>5468</v>
      </c>
      <c r="F156" s="17">
        <f t="shared" si="149"/>
        <v>5628</v>
      </c>
      <c r="G156" s="17">
        <f t="shared" si="149"/>
        <v>5943</v>
      </c>
      <c r="H156" s="17">
        <f t="shared" si="149"/>
        <v>6347</v>
      </c>
      <c r="I156" s="17">
        <f t="shared" si="149"/>
        <v>6986</v>
      </c>
      <c r="J156" s="17">
        <f t="shared" si="149"/>
        <v>7648</v>
      </c>
      <c r="K156" s="17">
        <f t="shared" si="149"/>
        <v>8175</v>
      </c>
      <c r="L156" s="17">
        <f t="shared" si="149"/>
        <v>8491</v>
      </c>
      <c r="M156" s="94">
        <f t="shared" ref="M156:AH156" si="150">M153+M154+M155</f>
        <v>8869</v>
      </c>
      <c r="N156" s="17">
        <f t="shared" si="150"/>
        <v>0</v>
      </c>
      <c r="O156" s="17">
        <f t="shared" si="150"/>
        <v>0</v>
      </c>
      <c r="P156" s="17">
        <f t="shared" si="150"/>
        <v>0</v>
      </c>
      <c r="Q156" s="94">
        <f t="shared" si="150"/>
        <v>0</v>
      </c>
      <c r="R156" s="94">
        <f t="shared" si="150"/>
        <v>9419</v>
      </c>
      <c r="S156" s="96">
        <f>S153+S154+S155</f>
        <v>9457</v>
      </c>
      <c r="T156" s="96">
        <f>T153+T154+T155</f>
        <v>9597</v>
      </c>
      <c r="U156" s="96"/>
      <c r="V156" s="96"/>
      <c r="W156" s="96"/>
      <c r="X156" s="96"/>
      <c r="Y156" s="96">
        <f>Y153+Y154+Y155</f>
        <v>9768.4750000000004</v>
      </c>
      <c r="Z156" s="94">
        <f>Z153+Z154+Z155</f>
        <v>9938.0845000000008</v>
      </c>
      <c r="AA156" s="96">
        <f t="shared" si="150"/>
        <v>9938.0845000000008</v>
      </c>
      <c r="AB156" s="96">
        <f t="shared" si="150"/>
        <v>10406.56112</v>
      </c>
      <c r="AC156" s="96">
        <f t="shared" si="150"/>
        <v>10838.2986752</v>
      </c>
      <c r="AD156" s="96">
        <f t="shared" si="150"/>
        <v>11243.766728192</v>
      </c>
      <c r="AE156" s="96">
        <f t="shared" si="150"/>
        <v>11626.016059064321</v>
      </c>
      <c r="AF156" s="96">
        <f t="shared" si="150"/>
        <v>11992.975416701747</v>
      </c>
      <c r="AG156" s="96">
        <f t="shared" si="150"/>
        <v>12345.256400033677</v>
      </c>
      <c r="AH156" s="96">
        <f t="shared" si="150"/>
        <v>12683.44614403233</v>
      </c>
    </row>
    <row r="157" spans="1:34">
      <c r="M157" s="59"/>
      <c r="Q157" s="59"/>
      <c r="R157" s="59"/>
      <c r="S157" s="22"/>
      <c r="T157" s="22"/>
      <c r="U157" s="22"/>
      <c r="V157" s="22"/>
      <c r="W157" s="22"/>
      <c r="X157" s="22"/>
      <c r="Y157" s="22"/>
      <c r="Z157" s="59"/>
      <c r="AA157" s="22"/>
      <c r="AB157" s="22"/>
      <c r="AC157" s="22"/>
      <c r="AD157" s="22"/>
      <c r="AE157" s="22"/>
      <c r="AF157" s="22"/>
      <c r="AG157" s="22"/>
      <c r="AH157" s="22"/>
    </row>
    <row r="158" spans="1:34">
      <c r="B158" s="90" t="s">
        <v>54</v>
      </c>
      <c r="D158" s="42"/>
      <c r="E158" s="42"/>
      <c r="F158" s="42"/>
      <c r="G158" s="42"/>
      <c r="H158" s="42"/>
      <c r="I158" s="42"/>
      <c r="J158" s="42"/>
      <c r="K158" s="42"/>
      <c r="L158" s="42"/>
      <c r="M158" s="59"/>
      <c r="Q158" s="59"/>
      <c r="R158" s="59"/>
      <c r="S158" s="22"/>
      <c r="T158" s="22"/>
      <c r="U158" s="22"/>
      <c r="V158" s="22"/>
      <c r="W158" s="22"/>
      <c r="X158" s="22"/>
      <c r="Y158" s="22"/>
      <c r="Z158" s="59"/>
      <c r="AA158" s="22"/>
      <c r="AB158" s="22"/>
      <c r="AC158" s="22"/>
      <c r="AD158" s="22"/>
      <c r="AE158" s="22"/>
      <c r="AF158" s="22"/>
      <c r="AG158" s="22"/>
      <c r="AH158" s="22"/>
    </row>
    <row r="159" spans="1:34">
      <c r="B159" s="87" t="s">
        <v>53</v>
      </c>
      <c r="C159" s="22">
        <v>4828</v>
      </c>
      <c r="D159" s="22">
        <v>5066</v>
      </c>
      <c r="E159" s="22">
        <v>5319</v>
      </c>
      <c r="F159" s="22">
        <v>5651</v>
      </c>
      <c r="G159" s="22">
        <v>5907</v>
      </c>
      <c r="H159" s="22">
        <v>6317</v>
      </c>
      <c r="I159" s="22">
        <v>6773</v>
      </c>
      <c r="J159" s="22">
        <v>7230</v>
      </c>
      <c r="K159" s="22">
        <v>7596</v>
      </c>
      <c r="L159" s="22">
        <v>8005</v>
      </c>
      <c r="M159" s="59">
        <v>8498</v>
      </c>
      <c r="N159" s="125"/>
      <c r="O159" s="125"/>
      <c r="P159" s="125"/>
      <c r="Q159" s="126"/>
      <c r="R159" s="59">
        <v>9076</v>
      </c>
      <c r="S159" s="22">
        <f>R159-S177</f>
        <v>9287</v>
      </c>
      <c r="T159" s="22">
        <f>S159-T177</f>
        <v>9479</v>
      </c>
      <c r="U159" s="22">
        <f>U85</f>
        <v>-609</v>
      </c>
      <c r="V159" s="22"/>
      <c r="W159" s="22"/>
      <c r="X159" s="22">
        <f>T159+U159</f>
        <v>8870</v>
      </c>
      <c r="Y159" s="22">
        <f>X159-Y177</f>
        <v>9001</v>
      </c>
      <c r="Z159" s="59">
        <f>Y159-Z177</f>
        <v>9132</v>
      </c>
      <c r="AA159" s="22">
        <f>Z159</f>
        <v>9132</v>
      </c>
      <c r="AB159" s="22">
        <f>AA159-AB177</f>
        <v>9801</v>
      </c>
      <c r="AC159" s="22">
        <f t="shared" ref="AC159:AH159" si="151">AB159-AC177</f>
        <v>10475</v>
      </c>
      <c r="AD159" s="22">
        <f>AC159-AD177</f>
        <v>11153</v>
      </c>
      <c r="AE159" s="22">
        <f t="shared" si="151"/>
        <v>11835</v>
      </c>
      <c r="AF159" s="22">
        <f t="shared" si="151"/>
        <v>12517</v>
      </c>
      <c r="AG159" s="22">
        <f t="shared" si="151"/>
        <v>13199</v>
      </c>
      <c r="AH159" s="22">
        <f t="shared" si="151"/>
        <v>13881</v>
      </c>
    </row>
    <row r="160" spans="1:34">
      <c r="B160" s="87" t="s">
        <v>5</v>
      </c>
      <c r="C160" s="22">
        <v>-1817</v>
      </c>
      <c r="D160" s="22">
        <v>-1884</v>
      </c>
      <c r="E160" s="22">
        <v>-1995</v>
      </c>
      <c r="F160" s="22">
        <v>-2129</v>
      </c>
      <c r="G160" s="22">
        <v>-2133</v>
      </c>
      <c r="H160" s="22">
        <v>-2266</v>
      </c>
      <c r="I160" s="22">
        <v>-2392</v>
      </c>
      <c r="J160" s="22">
        <v>-2556</v>
      </c>
      <c r="K160" s="22">
        <v>-2706</v>
      </c>
      <c r="L160" s="22">
        <v>-2879</v>
      </c>
      <c r="M160" s="59">
        <v>-3046</v>
      </c>
      <c r="N160" s="127"/>
      <c r="O160" s="127"/>
      <c r="P160" s="127"/>
      <c r="Q160" s="126"/>
      <c r="R160" s="59">
        <v>-3225</v>
      </c>
      <c r="S160" s="22">
        <f>R160+S23</f>
        <v>-3317</v>
      </c>
      <c r="T160" s="22">
        <f>S160+T23</f>
        <v>-3411</v>
      </c>
      <c r="U160" s="22">
        <f>U86</f>
        <v>292</v>
      </c>
      <c r="V160" s="22"/>
      <c r="W160" s="22"/>
      <c r="X160" s="22">
        <f>T160+U160</f>
        <v>-3119</v>
      </c>
      <c r="Y160" s="22">
        <f>X160+Y23</f>
        <v>-3212.1350000000002</v>
      </c>
      <c r="Z160" s="59">
        <f>Y160+Z23</f>
        <v>-3306.6455000000001</v>
      </c>
      <c r="AA160" s="22">
        <f>Z160</f>
        <v>-3306.6455000000001</v>
      </c>
      <c r="AB160" s="22">
        <f t="shared" ref="AB160:AH160" si="152">AA160+AB23</f>
        <v>-3717.5802515</v>
      </c>
      <c r="AC160" s="22">
        <f t="shared" si="152"/>
        <v>-4145.8053746494998</v>
      </c>
      <c r="AD160" s="22">
        <f t="shared" si="152"/>
        <v>-4590.4974145479837</v>
      </c>
      <c r="AE160" s="22">
        <f t="shared" si="152"/>
        <v>-5050.821087773269</v>
      </c>
      <c r="AF160" s="22">
        <f t="shared" si="152"/>
        <v>-5525.9970748924598</v>
      </c>
      <c r="AG160" s="22">
        <f t="shared" si="152"/>
        <v>-6015.0302708746649</v>
      </c>
      <c r="AH160" s="22">
        <f t="shared" si="152"/>
        <v>-6516.9922427260626</v>
      </c>
    </row>
    <row r="161" spans="2:34">
      <c r="B161" s="87" t="s">
        <v>35</v>
      </c>
      <c r="C161" s="24">
        <v>61</v>
      </c>
      <c r="D161" s="24">
        <v>55</v>
      </c>
      <c r="E161" s="24">
        <v>65</v>
      </c>
      <c r="F161" s="24">
        <v>86</v>
      </c>
      <c r="G161" s="24">
        <v>115</v>
      </c>
      <c r="H161" s="24">
        <v>165</v>
      </c>
      <c r="I161" s="24">
        <v>220</v>
      </c>
      <c r="J161" s="24">
        <v>262</v>
      </c>
      <c r="K161" s="24">
        <v>253</v>
      </c>
      <c r="L161" s="24">
        <v>234</v>
      </c>
      <c r="M161" s="60">
        <v>316</v>
      </c>
      <c r="N161" s="130"/>
      <c r="O161" s="130"/>
      <c r="P161" s="130"/>
      <c r="Q161" s="131"/>
      <c r="R161" s="60">
        <v>320</v>
      </c>
      <c r="S161" s="24">
        <f>R161</f>
        <v>320</v>
      </c>
      <c r="T161" s="24">
        <f>S161</f>
        <v>320</v>
      </c>
      <c r="U161" s="24">
        <f>U88</f>
        <v>-12</v>
      </c>
      <c r="V161" s="24"/>
      <c r="W161" s="24"/>
      <c r="X161" s="24">
        <f>U161+T161</f>
        <v>308</v>
      </c>
      <c r="Y161" s="24">
        <f>X161</f>
        <v>308</v>
      </c>
      <c r="Z161" s="60">
        <f>Y161</f>
        <v>308</v>
      </c>
      <c r="AA161" s="24">
        <f>Z161</f>
        <v>308</v>
      </c>
      <c r="AB161" s="24">
        <f t="shared" ref="AB161:AH161" si="153">AA161</f>
        <v>308</v>
      </c>
      <c r="AC161" s="24">
        <f t="shared" si="153"/>
        <v>308</v>
      </c>
      <c r="AD161" s="24">
        <f t="shared" si="153"/>
        <v>308</v>
      </c>
      <c r="AE161" s="24">
        <f t="shared" si="153"/>
        <v>308</v>
      </c>
      <c r="AF161" s="24">
        <f t="shared" si="153"/>
        <v>308</v>
      </c>
      <c r="AG161" s="24">
        <f t="shared" si="153"/>
        <v>308</v>
      </c>
      <c r="AH161" s="24">
        <f t="shared" si="153"/>
        <v>308</v>
      </c>
    </row>
    <row r="162" spans="2:34">
      <c r="C162" s="17">
        <f t="shared" ref="C162:L162" si="154">C159+C160+C161</f>
        <v>3072</v>
      </c>
      <c r="D162" s="17">
        <f t="shared" si="154"/>
        <v>3237</v>
      </c>
      <c r="E162" s="17">
        <f t="shared" si="154"/>
        <v>3389</v>
      </c>
      <c r="F162" s="17">
        <f t="shared" si="154"/>
        <v>3608</v>
      </c>
      <c r="G162" s="17">
        <f t="shared" si="154"/>
        <v>3889</v>
      </c>
      <c r="H162" s="17">
        <f t="shared" si="154"/>
        <v>4216</v>
      </c>
      <c r="I162" s="17">
        <f t="shared" si="154"/>
        <v>4601</v>
      </c>
      <c r="J162" s="17">
        <f t="shared" si="154"/>
        <v>4936</v>
      </c>
      <c r="K162" s="17">
        <f t="shared" si="154"/>
        <v>5143</v>
      </c>
      <c r="L162" s="17">
        <f t="shared" si="154"/>
        <v>5360</v>
      </c>
      <c r="M162" s="94">
        <f t="shared" ref="M162:AH162" si="155">M159+M160+M161</f>
        <v>5768</v>
      </c>
      <c r="N162" s="17">
        <f t="shared" si="155"/>
        <v>0</v>
      </c>
      <c r="O162" s="17">
        <f t="shared" si="155"/>
        <v>0</v>
      </c>
      <c r="P162" s="17">
        <f t="shared" si="155"/>
        <v>0</v>
      </c>
      <c r="Q162" s="94">
        <f t="shared" si="155"/>
        <v>0</v>
      </c>
      <c r="R162" s="94">
        <f t="shared" si="155"/>
        <v>6171</v>
      </c>
      <c r="S162" s="96">
        <f>S159+S160+S161</f>
        <v>6290</v>
      </c>
      <c r="T162" s="96">
        <f t="shared" si="155"/>
        <v>6388</v>
      </c>
      <c r="U162" s="96">
        <f>U159+U160+U161</f>
        <v>-329</v>
      </c>
      <c r="V162" s="96"/>
      <c r="W162" s="96"/>
      <c r="X162" s="96">
        <f>X159+X160+X161</f>
        <v>6059</v>
      </c>
      <c r="Y162" s="96">
        <f>Y159+Y160+Y161</f>
        <v>6096.8649999999998</v>
      </c>
      <c r="Z162" s="94">
        <f>Z159+Z160+Z161</f>
        <v>6133.3544999999995</v>
      </c>
      <c r="AA162" s="96">
        <f>AA159+AA160+AA161</f>
        <v>6133.3544999999995</v>
      </c>
      <c r="AB162" s="96">
        <f t="shared" si="155"/>
        <v>6391.4197485000004</v>
      </c>
      <c r="AC162" s="96">
        <f t="shared" si="155"/>
        <v>6637.1946253505002</v>
      </c>
      <c r="AD162" s="96">
        <f t="shared" si="155"/>
        <v>6870.5025854520163</v>
      </c>
      <c r="AE162" s="96">
        <f t="shared" si="155"/>
        <v>7092.178912226731</v>
      </c>
      <c r="AF162" s="96">
        <f t="shared" si="155"/>
        <v>7299.0029251075402</v>
      </c>
      <c r="AG162" s="96">
        <f t="shared" si="155"/>
        <v>7491.9697291253351</v>
      </c>
      <c r="AH162" s="96">
        <f t="shared" si="155"/>
        <v>7672.0077572739374</v>
      </c>
    </row>
    <row r="163" spans="2:34">
      <c r="M163" s="59"/>
      <c r="Q163" s="59"/>
      <c r="R163" s="59"/>
      <c r="S163" s="22"/>
      <c r="T163" s="22"/>
      <c r="U163" s="22"/>
      <c r="V163" s="22"/>
      <c r="W163" s="22"/>
      <c r="X163" s="22"/>
      <c r="Y163" s="22"/>
      <c r="Z163" s="59"/>
      <c r="AA163" s="22"/>
      <c r="AB163" s="22"/>
      <c r="AC163" s="22"/>
      <c r="AD163" s="22"/>
      <c r="AE163" s="22"/>
      <c r="AF163" s="22"/>
      <c r="AG163" s="22"/>
      <c r="AH163" s="22"/>
    </row>
    <row r="164" spans="2:34">
      <c r="B164" s="90" t="s">
        <v>55</v>
      </c>
      <c r="D164" s="42"/>
      <c r="E164" s="42"/>
      <c r="F164" s="42"/>
      <c r="G164" s="42"/>
      <c r="H164" s="42"/>
      <c r="I164" s="42"/>
      <c r="J164" s="42"/>
      <c r="K164" s="42"/>
      <c r="L164" s="42"/>
      <c r="M164" s="59"/>
      <c r="Q164" s="59"/>
      <c r="R164" s="59"/>
      <c r="S164" s="22"/>
      <c r="T164" s="22"/>
      <c r="U164" s="22"/>
      <c r="V164" s="22"/>
      <c r="W164" s="22"/>
      <c r="X164" s="22"/>
      <c r="Y164" s="22"/>
      <c r="Z164" s="59"/>
      <c r="AA164" s="22"/>
      <c r="AB164" s="22"/>
      <c r="AC164" s="22"/>
      <c r="AD164" s="22"/>
      <c r="AE164" s="22"/>
      <c r="AF164" s="22"/>
      <c r="AG164" s="22"/>
      <c r="AH164" s="22"/>
    </row>
    <row r="165" spans="2:34">
      <c r="B165" s="87" t="s">
        <v>53</v>
      </c>
      <c r="C165" s="22">
        <f t="shared" ref="C165:M165" si="156">C85-C153-C159</f>
        <v>1925</v>
      </c>
      <c r="D165" s="22">
        <f t="shared" si="156"/>
        <v>2041</v>
      </c>
      <c r="E165" s="22">
        <f t="shared" si="156"/>
        <v>2110</v>
      </c>
      <c r="F165" s="22">
        <f t="shared" si="156"/>
        <v>2294</v>
      </c>
      <c r="G165" s="22">
        <f t="shared" si="156"/>
        <v>2111</v>
      </c>
      <c r="H165" s="22">
        <f t="shared" si="156"/>
        <v>2022</v>
      </c>
      <c r="I165" s="22">
        <f t="shared" si="156"/>
        <v>2149</v>
      </c>
      <c r="J165" s="22">
        <f t="shared" si="156"/>
        <v>2333</v>
      </c>
      <c r="K165" s="22">
        <f t="shared" si="156"/>
        <v>2506</v>
      </c>
      <c r="L165" s="22">
        <f t="shared" si="156"/>
        <v>2805</v>
      </c>
      <c r="M165" s="59">
        <f t="shared" si="156"/>
        <v>2909</v>
      </c>
      <c r="N165" s="125"/>
      <c r="O165" s="125"/>
      <c r="P165" s="125"/>
      <c r="Q165" s="126"/>
      <c r="R165" s="59">
        <f t="shared" ref="R165:AH165" si="157">R85-R153-R159</f>
        <v>3071</v>
      </c>
      <c r="S165" s="22">
        <f t="shared" si="157"/>
        <v>2890</v>
      </c>
      <c r="T165" s="22">
        <f t="shared" si="157"/>
        <v>2832</v>
      </c>
      <c r="U165" s="22"/>
      <c r="V165" s="22"/>
      <c r="W165" s="22"/>
      <c r="X165" s="22"/>
      <c r="Y165" s="22">
        <f t="shared" si="157"/>
        <v>2829.5</v>
      </c>
      <c r="Z165" s="59">
        <f t="shared" si="157"/>
        <v>2827</v>
      </c>
      <c r="AA165" s="22">
        <f t="shared" si="157"/>
        <v>2827</v>
      </c>
      <c r="AB165" s="22">
        <f t="shared" si="157"/>
        <v>2827</v>
      </c>
      <c r="AC165" s="22">
        <f t="shared" si="157"/>
        <v>2827</v>
      </c>
      <c r="AD165" s="22">
        <f t="shared" si="157"/>
        <v>2827</v>
      </c>
      <c r="AE165" s="22">
        <f t="shared" si="157"/>
        <v>2827</v>
      </c>
      <c r="AF165" s="22">
        <f t="shared" si="157"/>
        <v>2827</v>
      </c>
      <c r="AG165" s="22">
        <f t="shared" si="157"/>
        <v>2827</v>
      </c>
      <c r="AH165" s="22">
        <f t="shared" si="157"/>
        <v>2827</v>
      </c>
    </row>
    <row r="166" spans="2:34">
      <c r="B166" s="87" t="s">
        <v>5</v>
      </c>
      <c r="C166" s="22">
        <f t="shared" ref="C166:M166" si="158">C86-C154-C160</f>
        <v>-723</v>
      </c>
      <c r="D166" s="22">
        <f t="shared" si="158"/>
        <v>-838</v>
      </c>
      <c r="E166" s="22">
        <f t="shared" si="158"/>
        <v>-934</v>
      </c>
      <c r="F166" s="22">
        <f t="shared" si="158"/>
        <v>-1027</v>
      </c>
      <c r="G166" s="22">
        <f t="shared" si="158"/>
        <v>-935</v>
      </c>
      <c r="H166" s="22">
        <f t="shared" si="158"/>
        <v>-845</v>
      </c>
      <c r="I166" s="22">
        <f t="shared" si="158"/>
        <v>-968</v>
      </c>
      <c r="J166" s="22">
        <f t="shared" si="158"/>
        <v>-1065</v>
      </c>
      <c r="K166" s="22">
        <f t="shared" si="158"/>
        <v>-1163</v>
      </c>
      <c r="L166" s="22">
        <f t="shared" si="158"/>
        <v>-1276</v>
      </c>
      <c r="M166" s="59">
        <f t="shared" si="158"/>
        <v>-1354</v>
      </c>
      <c r="N166" s="127"/>
      <c r="O166" s="127"/>
      <c r="P166" s="127"/>
      <c r="Q166" s="126"/>
      <c r="R166" s="59">
        <f t="shared" ref="R166:AH166" si="159">R86-R154-R160</f>
        <v>-1493</v>
      </c>
      <c r="S166" s="22">
        <f t="shared" si="159"/>
        <v>-1442</v>
      </c>
      <c r="T166" s="22">
        <f t="shared" si="159"/>
        <v>-1383</v>
      </c>
      <c r="U166" s="22"/>
      <c r="V166" s="22"/>
      <c r="W166" s="22"/>
      <c r="X166" s="22"/>
      <c r="Y166" s="22">
        <f t="shared" si="159"/>
        <v>-1385.5</v>
      </c>
      <c r="Z166" s="59">
        <f t="shared" si="159"/>
        <v>-1387.9999999999995</v>
      </c>
      <c r="AA166" s="22">
        <f t="shared" si="159"/>
        <v>-1387.9999999999995</v>
      </c>
      <c r="AB166" s="22">
        <f t="shared" si="159"/>
        <v>-1397.9999999999995</v>
      </c>
      <c r="AC166" s="22">
        <f t="shared" si="159"/>
        <v>-1408</v>
      </c>
      <c r="AD166" s="22">
        <f t="shared" si="159"/>
        <v>-1417.9999999999991</v>
      </c>
      <c r="AE166" s="22">
        <f t="shared" si="159"/>
        <v>-1427.9999999999991</v>
      </c>
      <c r="AF166" s="22">
        <f t="shared" si="159"/>
        <v>-1437.9999999999991</v>
      </c>
      <c r="AG166" s="22">
        <f t="shared" si="159"/>
        <v>-1447.9999999999991</v>
      </c>
      <c r="AH166" s="22">
        <f t="shared" si="159"/>
        <v>-1458</v>
      </c>
    </row>
    <row r="167" spans="2:34">
      <c r="B167" s="87" t="s">
        <v>35</v>
      </c>
      <c r="C167" s="24">
        <f t="shared" ref="C167:M167" si="160">C88-C161-C155</f>
        <v>24</v>
      </c>
      <c r="D167" s="24">
        <f t="shared" si="160"/>
        <v>44</v>
      </c>
      <c r="E167" s="24">
        <f t="shared" si="160"/>
        <v>77</v>
      </c>
      <c r="F167" s="24">
        <f t="shared" si="160"/>
        <v>23</v>
      </c>
      <c r="G167" s="24">
        <f t="shared" si="160"/>
        <v>137</v>
      </c>
      <c r="H167" s="24">
        <f t="shared" si="160"/>
        <v>88</v>
      </c>
      <c r="I167" s="24">
        <f t="shared" si="160"/>
        <v>80</v>
      </c>
      <c r="J167" s="24">
        <f t="shared" si="160"/>
        <v>62</v>
      </c>
      <c r="K167" s="24">
        <f t="shared" si="160"/>
        <v>104</v>
      </c>
      <c r="L167" s="24">
        <f t="shared" si="160"/>
        <v>180</v>
      </c>
      <c r="M167" s="60">
        <f t="shared" si="160"/>
        <v>91</v>
      </c>
      <c r="N167" s="130"/>
      <c r="O167" s="130"/>
      <c r="P167" s="130"/>
      <c r="Q167" s="131"/>
      <c r="R167" s="60">
        <f>R88-R161-R155</f>
        <v>79</v>
      </c>
      <c r="S167" s="24">
        <f>S88-S161-S155</f>
        <v>233</v>
      </c>
      <c r="T167" s="24">
        <f t="shared" ref="T167:AH167" si="161">S167</f>
        <v>233</v>
      </c>
      <c r="U167" s="24"/>
      <c r="V167" s="24"/>
      <c r="W167" s="24"/>
      <c r="X167" s="24"/>
      <c r="Y167" s="24">
        <f>T167</f>
        <v>233</v>
      </c>
      <c r="Z167" s="60">
        <f t="shared" si="161"/>
        <v>233</v>
      </c>
      <c r="AA167" s="24">
        <f t="shared" si="161"/>
        <v>233</v>
      </c>
      <c r="AB167" s="24">
        <f>AA167</f>
        <v>233</v>
      </c>
      <c r="AC167" s="24">
        <f t="shared" si="161"/>
        <v>233</v>
      </c>
      <c r="AD167" s="24">
        <f t="shared" si="161"/>
        <v>233</v>
      </c>
      <c r="AE167" s="24">
        <f t="shared" si="161"/>
        <v>233</v>
      </c>
      <c r="AF167" s="24">
        <f t="shared" si="161"/>
        <v>233</v>
      </c>
      <c r="AG167" s="24">
        <f t="shared" si="161"/>
        <v>233</v>
      </c>
      <c r="AH167" s="24">
        <f t="shared" si="161"/>
        <v>233</v>
      </c>
    </row>
    <row r="168" spans="2:34">
      <c r="C168" s="17">
        <f t="shared" ref="C168:R168" si="162">SUM(C165:C167)</f>
        <v>1226</v>
      </c>
      <c r="D168" s="17">
        <f t="shared" si="162"/>
        <v>1247</v>
      </c>
      <c r="E168" s="17">
        <f t="shared" si="162"/>
        <v>1253</v>
      </c>
      <c r="F168" s="17">
        <f t="shared" si="162"/>
        <v>1290</v>
      </c>
      <c r="G168" s="17">
        <f t="shared" si="162"/>
        <v>1313</v>
      </c>
      <c r="H168" s="17">
        <f t="shared" si="162"/>
        <v>1265</v>
      </c>
      <c r="I168" s="17">
        <f t="shared" si="162"/>
        <v>1261</v>
      </c>
      <c r="J168" s="17">
        <f t="shared" si="162"/>
        <v>1330</v>
      </c>
      <c r="K168" s="17">
        <f t="shared" si="162"/>
        <v>1447</v>
      </c>
      <c r="L168" s="17">
        <f t="shared" si="162"/>
        <v>1709</v>
      </c>
      <c r="M168" s="94">
        <f>SUM(M165:M167)</f>
        <v>1646</v>
      </c>
      <c r="N168" s="17">
        <f t="shared" si="162"/>
        <v>0</v>
      </c>
      <c r="O168" s="17">
        <f t="shared" si="162"/>
        <v>0</v>
      </c>
      <c r="P168" s="17">
        <f t="shared" si="162"/>
        <v>0</v>
      </c>
      <c r="Q168" s="94">
        <f t="shared" si="162"/>
        <v>0</v>
      </c>
      <c r="R168" s="94">
        <f t="shared" si="162"/>
        <v>1657</v>
      </c>
      <c r="S168" s="96">
        <f>SUM(S165:S167)</f>
        <v>1681</v>
      </c>
      <c r="T168" s="96">
        <f>SUM(T165:T167)</f>
        <v>1682</v>
      </c>
      <c r="U168" s="96"/>
      <c r="V168" s="96"/>
      <c r="W168" s="96"/>
      <c r="X168" s="96"/>
      <c r="Y168" s="96">
        <f t="shared" ref="Y168" si="163">SUM(Y165:Y167)</f>
        <v>1677</v>
      </c>
      <c r="Z168" s="94">
        <f t="shared" ref="Z168:AA168" si="164">SUM(Z165:Z167)</f>
        <v>1672.0000000000005</v>
      </c>
      <c r="AA168" s="96">
        <f t="shared" si="164"/>
        <v>1672.0000000000005</v>
      </c>
      <c r="AB168" s="96">
        <f>SUM(AB165:AB167)</f>
        <v>1662.0000000000005</v>
      </c>
      <c r="AC168" s="96">
        <f t="shared" ref="AC168:AH168" si="165">SUM(AC165:AC167)</f>
        <v>1652</v>
      </c>
      <c r="AD168" s="96">
        <f t="shared" si="165"/>
        <v>1642.0000000000009</v>
      </c>
      <c r="AE168" s="96">
        <f t="shared" si="165"/>
        <v>1632.0000000000009</v>
      </c>
      <c r="AF168" s="96">
        <f t="shared" si="165"/>
        <v>1622.0000000000009</v>
      </c>
      <c r="AG168" s="96">
        <f t="shared" si="165"/>
        <v>1612.0000000000009</v>
      </c>
      <c r="AH168" s="96">
        <f t="shared" si="165"/>
        <v>1602</v>
      </c>
    </row>
    <row r="169" spans="2:34"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94"/>
      <c r="N169" s="17"/>
      <c r="O169" s="17"/>
      <c r="P169" s="17"/>
      <c r="Q169" s="94"/>
      <c r="R169" s="94"/>
      <c r="S169" s="96"/>
      <c r="T169" s="96"/>
      <c r="U169" s="96"/>
      <c r="V169" s="96"/>
      <c r="W169" s="96"/>
      <c r="X169" s="96"/>
      <c r="Y169" s="96"/>
      <c r="Z169" s="94"/>
      <c r="AA169" s="96"/>
      <c r="AB169" s="96"/>
      <c r="AC169" s="96"/>
      <c r="AD169" s="96"/>
      <c r="AE169" s="96"/>
      <c r="AF169" s="96"/>
      <c r="AG169" s="96"/>
      <c r="AH169" s="96"/>
    </row>
    <row r="170" spans="2:34">
      <c r="B170" s="90" t="s">
        <v>37</v>
      </c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94"/>
      <c r="N170" s="17"/>
      <c r="O170" s="17"/>
      <c r="P170" s="17"/>
      <c r="Q170" s="94"/>
      <c r="R170" s="94"/>
      <c r="S170" s="96"/>
      <c r="T170" s="96"/>
      <c r="U170" s="96"/>
      <c r="V170" s="96"/>
      <c r="W170" s="96"/>
      <c r="X170" s="96"/>
      <c r="Y170" s="96"/>
      <c r="Z170" s="94"/>
      <c r="AA170" s="96"/>
      <c r="AB170" s="96"/>
      <c r="AC170" s="96"/>
      <c r="AD170" s="96"/>
      <c r="AE170" s="96"/>
      <c r="AF170" s="96"/>
      <c r="AG170" s="96"/>
      <c r="AH170" s="96"/>
    </row>
    <row r="171" spans="2:34">
      <c r="B171" s="87" t="s">
        <v>2</v>
      </c>
      <c r="C171" s="5">
        <v>6589</v>
      </c>
      <c r="D171" s="5">
        <v>6785</v>
      </c>
      <c r="E171" s="5">
        <v>6827</v>
      </c>
      <c r="F171" s="5">
        <v>6950</v>
      </c>
      <c r="G171" s="5">
        <v>7273</v>
      </c>
      <c r="H171" s="5">
        <v>7877</v>
      </c>
      <c r="I171" s="5">
        <v>8993</v>
      </c>
      <c r="J171" s="5">
        <v>9805</v>
      </c>
      <c r="K171" s="5">
        <v>10589</v>
      </c>
      <c r="L171" s="5">
        <v>11586</v>
      </c>
      <c r="M171" s="59">
        <v>11846</v>
      </c>
      <c r="N171" s="5">
        <v>11907</v>
      </c>
      <c r="O171" s="5">
        <v>12060</v>
      </c>
      <c r="P171" s="5">
        <v>12233</v>
      </c>
      <c r="Q171" s="59">
        <f>R171</f>
        <v>12540</v>
      </c>
      <c r="R171" s="59">
        <v>12540</v>
      </c>
      <c r="S171" s="22">
        <v>12682</v>
      </c>
      <c r="T171" s="5">
        <v>12822</v>
      </c>
      <c r="Y171" s="127"/>
      <c r="Z171" s="126"/>
      <c r="AA171" s="127"/>
      <c r="AB171" s="127"/>
      <c r="AC171" s="127"/>
      <c r="AD171" s="127"/>
      <c r="AE171" s="127"/>
      <c r="AF171" s="127"/>
      <c r="AG171" s="127"/>
      <c r="AH171" s="127"/>
    </row>
    <row r="172" spans="2:34">
      <c r="B172" s="87" t="s">
        <v>1</v>
      </c>
      <c r="C172" s="5">
        <v>4623</v>
      </c>
      <c r="D172" s="5">
        <v>4845</v>
      </c>
      <c r="E172" s="5">
        <v>4902</v>
      </c>
      <c r="F172" s="5">
        <v>5161</v>
      </c>
      <c r="G172" s="5">
        <v>5407</v>
      </c>
      <c r="H172" s="5">
        <v>5873</v>
      </c>
      <c r="I172" s="5">
        <v>6481</v>
      </c>
      <c r="J172" s="5">
        <v>6908</v>
      </c>
      <c r="K172" s="5">
        <v>7594</v>
      </c>
      <c r="L172" s="5">
        <v>8621</v>
      </c>
      <c r="M172" s="59">
        <v>8805</v>
      </c>
      <c r="N172" s="5">
        <v>9032</v>
      </c>
      <c r="O172" s="5">
        <v>9061</v>
      </c>
      <c r="P172" s="5">
        <v>9347</v>
      </c>
      <c r="Q172" s="59">
        <f>R172</f>
        <v>9805</v>
      </c>
      <c r="R172" s="59">
        <v>9805</v>
      </c>
      <c r="S172" s="22">
        <v>9915</v>
      </c>
      <c r="T172" s="5">
        <v>9888</v>
      </c>
      <c r="Y172" s="127"/>
      <c r="Z172" s="126"/>
      <c r="AA172" s="127"/>
      <c r="AB172" s="127"/>
      <c r="AC172" s="127"/>
      <c r="AD172" s="127"/>
      <c r="AE172" s="127"/>
      <c r="AF172" s="127"/>
      <c r="AG172" s="127"/>
      <c r="AH172" s="127"/>
    </row>
    <row r="173" spans="2:34">
      <c r="B173" s="87" t="s">
        <v>3</v>
      </c>
      <c r="C173" s="24">
        <v>94</v>
      </c>
      <c r="D173" s="24">
        <v>95</v>
      </c>
      <c r="E173" s="24">
        <v>92</v>
      </c>
      <c r="F173" s="24">
        <v>99</v>
      </c>
      <c r="G173" s="24">
        <v>106</v>
      </c>
      <c r="H173" s="24">
        <v>128</v>
      </c>
      <c r="I173" s="24">
        <v>161</v>
      </c>
      <c r="J173" s="24">
        <v>609</v>
      </c>
      <c r="K173" s="24">
        <v>663</v>
      </c>
      <c r="L173" s="24">
        <v>604</v>
      </c>
      <c r="M173" s="60">
        <v>974</v>
      </c>
      <c r="N173" s="24">
        <v>895</v>
      </c>
      <c r="O173" s="24">
        <v>1146</v>
      </c>
      <c r="P173" s="24">
        <v>974</v>
      </c>
      <c r="Q173" s="60">
        <f>R173</f>
        <v>205</v>
      </c>
      <c r="R173" s="60">
        <v>205</v>
      </c>
      <c r="S173" s="24">
        <v>295</v>
      </c>
      <c r="T173" s="24">
        <v>457</v>
      </c>
      <c r="U173" s="24"/>
      <c r="V173" s="24"/>
      <c r="W173" s="24"/>
      <c r="X173" s="24"/>
      <c r="Y173" s="130"/>
      <c r="Z173" s="131"/>
      <c r="AA173" s="130"/>
      <c r="AB173" s="130"/>
      <c r="AC173" s="130"/>
      <c r="AD173" s="130"/>
      <c r="AE173" s="130"/>
      <c r="AF173" s="130"/>
      <c r="AG173" s="130"/>
      <c r="AH173" s="130"/>
    </row>
    <row r="174" spans="2:34">
      <c r="C174" s="17">
        <f t="shared" ref="C174:L174" si="166">SUM(C171:C173)</f>
        <v>11306</v>
      </c>
      <c r="D174" s="17">
        <f t="shared" si="166"/>
        <v>11725</v>
      </c>
      <c r="E174" s="17">
        <f t="shared" si="166"/>
        <v>11821</v>
      </c>
      <c r="F174" s="17">
        <f t="shared" si="166"/>
        <v>12210</v>
      </c>
      <c r="G174" s="17">
        <f t="shared" si="166"/>
        <v>12786</v>
      </c>
      <c r="H174" s="17">
        <f t="shared" si="166"/>
        <v>13878</v>
      </c>
      <c r="I174" s="17">
        <f t="shared" si="166"/>
        <v>15635</v>
      </c>
      <c r="J174" s="17">
        <f t="shared" si="166"/>
        <v>17322</v>
      </c>
      <c r="K174" s="17">
        <f t="shared" si="166"/>
        <v>18846</v>
      </c>
      <c r="L174" s="17">
        <f t="shared" si="166"/>
        <v>20811</v>
      </c>
      <c r="M174" s="94">
        <f t="shared" ref="M174:AH174" si="167">SUM(M171:M173)</f>
        <v>21625</v>
      </c>
      <c r="N174" s="17">
        <f t="shared" si="167"/>
        <v>21834</v>
      </c>
      <c r="O174" s="17">
        <f t="shared" si="167"/>
        <v>22267</v>
      </c>
      <c r="P174" s="17">
        <f t="shared" si="167"/>
        <v>22554</v>
      </c>
      <c r="Q174" s="94">
        <f t="shared" si="167"/>
        <v>22550</v>
      </c>
      <c r="R174" s="94">
        <f t="shared" si="167"/>
        <v>22550</v>
      </c>
      <c r="S174" s="96">
        <f>SUM(S171:S173)</f>
        <v>22892</v>
      </c>
      <c r="T174" s="17">
        <f t="shared" ref="T174" si="168">SUM(T171:T173)</f>
        <v>23167</v>
      </c>
      <c r="U174" s="17"/>
      <c r="V174" s="17"/>
      <c r="W174" s="17"/>
      <c r="X174" s="17"/>
      <c r="Y174" s="96">
        <f t="shared" si="167"/>
        <v>0</v>
      </c>
      <c r="Z174" s="94">
        <f t="shared" si="167"/>
        <v>0</v>
      </c>
      <c r="AA174" s="96">
        <f t="shared" si="167"/>
        <v>0</v>
      </c>
      <c r="AB174" s="96">
        <f t="shared" si="167"/>
        <v>0</v>
      </c>
      <c r="AC174" s="96">
        <f t="shared" si="167"/>
        <v>0</v>
      </c>
      <c r="AD174" s="96">
        <f t="shared" si="167"/>
        <v>0</v>
      </c>
      <c r="AE174" s="96">
        <f t="shared" si="167"/>
        <v>0</v>
      </c>
      <c r="AF174" s="96">
        <f t="shared" si="167"/>
        <v>0</v>
      </c>
      <c r="AG174" s="96">
        <f t="shared" si="167"/>
        <v>0</v>
      </c>
      <c r="AH174" s="96">
        <f t="shared" si="167"/>
        <v>0</v>
      </c>
    </row>
    <row r="175" spans="2:34">
      <c r="B175" s="90" t="s">
        <v>73</v>
      </c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94"/>
      <c r="N175" s="17"/>
      <c r="O175" s="17"/>
      <c r="P175" s="17"/>
      <c r="Q175" s="94"/>
      <c r="R175" s="94"/>
      <c r="S175" s="96"/>
      <c r="T175" s="96"/>
      <c r="U175" s="96"/>
      <c r="V175" s="96"/>
      <c r="W175" s="96"/>
      <c r="X175" s="96"/>
      <c r="Y175" s="96"/>
      <c r="Z175" s="94"/>
      <c r="AA175" s="96"/>
      <c r="AB175" s="96"/>
      <c r="AC175" s="96"/>
      <c r="AD175" s="96"/>
      <c r="AE175" s="96"/>
      <c r="AF175" s="96"/>
      <c r="AG175" s="96"/>
      <c r="AH175" s="96"/>
    </row>
    <row r="176" spans="2:34">
      <c r="B176" s="87" t="s">
        <v>2</v>
      </c>
      <c r="C176" s="5">
        <v>-292</v>
      </c>
      <c r="D176" s="5">
        <v>-288</v>
      </c>
      <c r="E176" s="5">
        <v>-338</v>
      </c>
      <c r="F176" s="5">
        <v>-417</v>
      </c>
      <c r="G176" s="5">
        <v>-511</v>
      </c>
      <c r="H176" s="5">
        <v>-570</v>
      </c>
      <c r="I176" s="5">
        <v>-643</v>
      </c>
      <c r="J176" s="5">
        <v>-629</v>
      </c>
      <c r="K176" s="5">
        <v>-628</v>
      </c>
      <c r="L176" s="5">
        <v>-776</v>
      </c>
      <c r="M176" s="59">
        <v>-714</v>
      </c>
      <c r="N176" s="5">
        <v>-123</v>
      </c>
      <c r="O176" s="5">
        <v>-175</v>
      </c>
      <c r="P176" s="5">
        <v>-171</v>
      </c>
      <c r="Q176" s="59">
        <f>R176-SUM(N176:P176)</f>
        <v>-211</v>
      </c>
      <c r="R176" s="59">
        <v>-680</v>
      </c>
      <c r="S176" s="22">
        <v>-132</v>
      </c>
      <c r="T176" s="22">
        <v>-234</v>
      </c>
      <c r="U176" s="22"/>
      <c r="V176" s="22"/>
      <c r="W176" s="22"/>
      <c r="X176" s="22"/>
      <c r="Y176" s="22">
        <f>(AA176-S176-T176)/2</f>
        <v>-266.5</v>
      </c>
      <c r="Z176" s="59">
        <f>Y176</f>
        <v>-266.5</v>
      </c>
      <c r="AA176" s="109">
        <v>-899</v>
      </c>
      <c r="AB176" s="109">
        <v>-866</v>
      </c>
      <c r="AC176" s="109">
        <v>-848</v>
      </c>
      <c r="AD176" s="109">
        <v>-839</v>
      </c>
      <c r="AE176" s="109">
        <v>-832</v>
      </c>
      <c r="AF176" s="22">
        <f t="shared" ref="AF176:AH177" si="169">AE176</f>
        <v>-832</v>
      </c>
      <c r="AG176" s="22">
        <f t="shared" si="169"/>
        <v>-832</v>
      </c>
      <c r="AH176" s="22">
        <f t="shared" si="169"/>
        <v>-832</v>
      </c>
    </row>
    <row r="177" spans="2:36">
      <c r="B177" s="87" t="s">
        <v>1</v>
      </c>
      <c r="C177" s="22">
        <v>-289</v>
      </c>
      <c r="D177" s="22">
        <v>-432</v>
      </c>
      <c r="E177" s="22">
        <v>-349</v>
      </c>
      <c r="F177" s="22">
        <v>-402</v>
      </c>
      <c r="G177" s="22">
        <v>-560</v>
      </c>
      <c r="H177" s="22">
        <v>-704</v>
      </c>
      <c r="I177" s="22">
        <v>-918</v>
      </c>
      <c r="J177" s="22">
        <v>-936</v>
      </c>
      <c r="K177" s="22">
        <v>-810</v>
      </c>
      <c r="L177" s="22">
        <v>-671</v>
      </c>
      <c r="M177" s="59">
        <v>-673</v>
      </c>
      <c r="N177" s="22">
        <v>-173</v>
      </c>
      <c r="O177" s="22">
        <v>-203</v>
      </c>
      <c r="P177" s="22">
        <v>-204</v>
      </c>
      <c r="Q177" s="59">
        <f>R177-SUM(N177:P177)</f>
        <v>-265</v>
      </c>
      <c r="R177" s="59">
        <v>-845</v>
      </c>
      <c r="S177" s="22">
        <v>-211</v>
      </c>
      <c r="T177" s="22">
        <v>-192</v>
      </c>
      <c r="U177" s="22"/>
      <c r="V177" s="22"/>
      <c r="W177" s="22"/>
      <c r="X177" s="22"/>
      <c r="Y177" s="22">
        <f>(AA177-S177-T177)/2</f>
        <v>-131</v>
      </c>
      <c r="Z177" s="59">
        <f>Y177</f>
        <v>-131</v>
      </c>
      <c r="AA177" s="109">
        <v>-665</v>
      </c>
      <c r="AB177" s="109">
        <v>-669</v>
      </c>
      <c r="AC177" s="109">
        <v>-674</v>
      </c>
      <c r="AD177" s="109">
        <v>-678</v>
      </c>
      <c r="AE177" s="109">
        <v>-682</v>
      </c>
      <c r="AF177" s="22">
        <f t="shared" si="169"/>
        <v>-682</v>
      </c>
      <c r="AG177" s="22">
        <f t="shared" si="169"/>
        <v>-682</v>
      </c>
      <c r="AH177" s="22">
        <f t="shared" si="169"/>
        <v>-682</v>
      </c>
    </row>
    <row r="178" spans="2:36">
      <c r="B178" s="87" t="s">
        <v>3</v>
      </c>
      <c r="C178" s="24">
        <v>-16</v>
      </c>
      <c r="D178" s="24">
        <v>-7</v>
      </c>
      <c r="E178" s="24">
        <v>-4</v>
      </c>
      <c r="F178" s="24">
        <v>-4</v>
      </c>
      <c r="G178" s="24">
        <v>-20</v>
      </c>
      <c r="H178" s="24">
        <v>-10</v>
      </c>
      <c r="I178" s="24">
        <v>-5</v>
      </c>
      <c r="J178" s="24">
        <v>-5</v>
      </c>
      <c r="K178" s="24">
        <v>-9</v>
      </c>
      <c r="L178" s="24">
        <v>-7</v>
      </c>
      <c r="M178" s="60">
        <v>-7</v>
      </c>
      <c r="N178" s="24">
        <v>0</v>
      </c>
      <c r="O178" s="24">
        <v>-2</v>
      </c>
      <c r="P178" s="24">
        <v>-1</v>
      </c>
      <c r="Q178" s="60">
        <f>R178-SUM(N178:P178)</f>
        <v>-2</v>
      </c>
      <c r="R178" s="60">
        <v>-5</v>
      </c>
      <c r="S178" s="144">
        <v>-2</v>
      </c>
      <c r="T178" s="24">
        <v>-3</v>
      </c>
      <c r="U178" s="24"/>
      <c r="V178" s="24"/>
      <c r="W178" s="24"/>
      <c r="X178" s="24"/>
      <c r="Y178" s="24">
        <f>(AA178-S178-T178)/2</f>
        <v>2.5</v>
      </c>
      <c r="Z178" s="60">
        <f>Y178</f>
        <v>2.5</v>
      </c>
      <c r="AA178" s="115">
        <v>0</v>
      </c>
      <c r="AB178" s="115">
        <v>0</v>
      </c>
      <c r="AC178" s="115">
        <v>0</v>
      </c>
      <c r="AD178" s="115">
        <v>0</v>
      </c>
      <c r="AE178" s="115">
        <v>0</v>
      </c>
      <c r="AF178" s="115">
        <v>0</v>
      </c>
      <c r="AG178" s="115">
        <v>0</v>
      </c>
      <c r="AH178" s="115">
        <v>0</v>
      </c>
    </row>
    <row r="179" spans="2:36">
      <c r="C179" s="17">
        <f t="shared" ref="C179:L179" si="170">C176+C177+C178</f>
        <v>-597</v>
      </c>
      <c r="D179" s="17">
        <f t="shared" si="170"/>
        <v>-727</v>
      </c>
      <c r="E179" s="17">
        <f t="shared" si="170"/>
        <v>-691</v>
      </c>
      <c r="F179" s="17">
        <f t="shared" si="170"/>
        <v>-823</v>
      </c>
      <c r="G179" s="17">
        <f t="shared" si="170"/>
        <v>-1091</v>
      </c>
      <c r="H179" s="17">
        <f t="shared" si="170"/>
        <v>-1284</v>
      </c>
      <c r="I179" s="17">
        <f t="shared" si="170"/>
        <v>-1566</v>
      </c>
      <c r="J179" s="17">
        <f t="shared" si="170"/>
        <v>-1570</v>
      </c>
      <c r="K179" s="17">
        <f t="shared" si="170"/>
        <v>-1447</v>
      </c>
      <c r="L179" s="17">
        <f t="shared" si="170"/>
        <v>-1454</v>
      </c>
      <c r="M179" s="94">
        <f t="shared" ref="M179:R179" si="171">M176+M177+M178</f>
        <v>-1394</v>
      </c>
      <c r="N179" s="17">
        <f t="shared" si="171"/>
        <v>-296</v>
      </c>
      <c r="O179" s="17">
        <f t="shared" si="171"/>
        <v>-380</v>
      </c>
      <c r="P179" s="17">
        <f t="shared" si="171"/>
        <v>-376</v>
      </c>
      <c r="Q179" s="94">
        <f t="shared" si="171"/>
        <v>-478</v>
      </c>
      <c r="R179" s="94">
        <f t="shared" si="171"/>
        <v>-1530</v>
      </c>
      <c r="S179" s="96">
        <f>S176+S177+S178</f>
        <v>-345</v>
      </c>
      <c r="T179" s="96">
        <f>T176+T177+T178</f>
        <v>-429</v>
      </c>
      <c r="U179" s="96"/>
      <c r="V179" s="96"/>
      <c r="W179" s="96"/>
      <c r="X179" s="96"/>
      <c r="Y179" s="96">
        <f t="shared" ref="Y179:AH179" si="172">SUM(Y176:Y178)</f>
        <v>-395</v>
      </c>
      <c r="Z179" s="94">
        <f t="shared" si="172"/>
        <v>-395</v>
      </c>
      <c r="AA179" s="145">
        <f t="shared" si="172"/>
        <v>-1564</v>
      </c>
      <c r="AB179" s="145">
        <f t="shared" si="172"/>
        <v>-1535</v>
      </c>
      <c r="AC179" s="145">
        <f t="shared" si="172"/>
        <v>-1522</v>
      </c>
      <c r="AD179" s="145">
        <f t="shared" si="172"/>
        <v>-1517</v>
      </c>
      <c r="AE179" s="145">
        <f t="shared" si="172"/>
        <v>-1514</v>
      </c>
      <c r="AF179" s="145">
        <f t="shared" si="172"/>
        <v>-1514</v>
      </c>
      <c r="AG179" s="145">
        <f t="shared" si="172"/>
        <v>-1514</v>
      </c>
      <c r="AH179" s="145">
        <f t="shared" si="172"/>
        <v>-1514</v>
      </c>
    </row>
    <row r="180" spans="2:36">
      <c r="M180" s="59"/>
      <c r="Q180" s="59"/>
      <c r="R180" s="59"/>
      <c r="Y180" s="22"/>
      <c r="Z180" s="59"/>
    </row>
    <row r="181" spans="2:36">
      <c r="B181" s="299" t="s">
        <v>86</v>
      </c>
      <c r="C181" s="290"/>
      <c r="D181" s="290"/>
      <c r="E181" s="290"/>
      <c r="F181" s="290"/>
      <c r="G181" s="290"/>
      <c r="H181" s="290"/>
      <c r="I181" s="290"/>
      <c r="J181" s="290"/>
      <c r="K181" s="290"/>
      <c r="L181" s="290"/>
      <c r="M181" s="291"/>
      <c r="N181" s="292"/>
      <c r="O181" s="292"/>
      <c r="P181" s="292"/>
      <c r="Q181" s="293"/>
      <c r="R181" s="294"/>
      <c r="S181" s="295"/>
      <c r="T181" s="292"/>
      <c r="U181" s="298"/>
      <c r="V181" s="298"/>
      <c r="W181" s="298"/>
      <c r="X181" s="296"/>
      <c r="Y181" s="296"/>
      <c r="Z181" s="297"/>
      <c r="AA181" s="296"/>
      <c r="AB181" s="296"/>
      <c r="AC181" s="296"/>
      <c r="AD181" s="296"/>
      <c r="AE181" s="296"/>
      <c r="AF181" s="296"/>
      <c r="AG181" s="296"/>
      <c r="AH181" s="296"/>
      <c r="AI181" s="146" t="s">
        <v>88</v>
      </c>
      <c r="AJ181" s="147" t="s">
        <v>89</v>
      </c>
    </row>
    <row r="182" spans="2:36">
      <c r="M182" s="59"/>
      <c r="Q182" s="59"/>
      <c r="R182" s="59"/>
      <c r="Y182" s="22"/>
      <c r="Z182" s="59"/>
      <c r="AI182" s="148"/>
      <c r="AJ182" s="149"/>
    </row>
    <row r="183" spans="2:36">
      <c r="B183" s="90" t="s">
        <v>87</v>
      </c>
      <c r="M183" s="59"/>
      <c r="Q183" s="59"/>
      <c r="R183" s="59"/>
      <c r="Y183" s="22"/>
      <c r="Z183" s="59"/>
      <c r="AI183" s="148"/>
      <c r="AJ183" s="149"/>
    </row>
    <row r="184" spans="2:36">
      <c r="B184" s="87" t="s">
        <v>1</v>
      </c>
      <c r="C184" s="125"/>
      <c r="D184" s="150">
        <f t="shared" ref="D184:M184" si="173">D8/C8-1</f>
        <v>5.1207022677395742E-2</v>
      </c>
      <c r="E184" s="150">
        <f t="shared" si="173"/>
        <v>7.3416840640222691E-2</v>
      </c>
      <c r="F184" s="150">
        <f t="shared" si="173"/>
        <v>6.094003241491075E-2</v>
      </c>
      <c r="G184" s="150">
        <f t="shared" si="173"/>
        <v>3.3302780323861914E-2</v>
      </c>
      <c r="H184" s="150">
        <f t="shared" si="173"/>
        <v>-1.4192785334121827E-2</v>
      </c>
      <c r="I184" s="150">
        <f t="shared" si="173"/>
        <v>5.9988002399520068E-2</v>
      </c>
      <c r="J184" s="150">
        <f t="shared" si="173"/>
        <v>6.225240520656472E-2</v>
      </c>
      <c r="K184" s="150">
        <f t="shared" si="173"/>
        <v>7.0591369206180143E-2</v>
      </c>
      <c r="L184" s="150">
        <f t="shared" si="173"/>
        <v>4.1054988803184811E-2</v>
      </c>
      <c r="M184" s="151">
        <f t="shared" si="173"/>
        <v>7.170172084130022E-2</v>
      </c>
      <c r="N184" s="125"/>
      <c r="O184" s="125"/>
      <c r="P184" s="125"/>
      <c r="Q184" s="126"/>
      <c r="R184" s="151">
        <f>R8/M8-1</f>
        <v>9.3443354148082136E-2</v>
      </c>
      <c r="S184" s="125"/>
      <c r="T184" s="152">
        <v>0.05</v>
      </c>
      <c r="U184" s="152"/>
      <c r="V184" s="152"/>
      <c r="W184" s="152"/>
      <c r="X184" s="152"/>
      <c r="Y184" s="153">
        <v>0.05</v>
      </c>
      <c r="Z184" s="154">
        <v>0.05</v>
      </c>
      <c r="AA184" s="150">
        <f>AA8/R8-1</f>
        <v>-3.6437895166224754E-2</v>
      </c>
      <c r="AB184" s="150">
        <f>AI184</f>
        <v>5.5E-2</v>
      </c>
      <c r="AC184" s="150">
        <f>AB184</f>
        <v>5.5E-2</v>
      </c>
      <c r="AD184" s="150">
        <f t="shared" ref="AD184:AG184" si="174">AC184</f>
        <v>5.5E-2</v>
      </c>
      <c r="AE184" s="150">
        <f t="shared" si="174"/>
        <v>5.5E-2</v>
      </c>
      <c r="AF184" s="150">
        <f t="shared" si="174"/>
        <v>5.5E-2</v>
      </c>
      <c r="AG184" s="150">
        <f t="shared" si="174"/>
        <v>5.5E-2</v>
      </c>
      <c r="AH184" s="150">
        <f>AG184</f>
        <v>5.5E-2</v>
      </c>
      <c r="AI184" s="155">
        <v>5.5E-2</v>
      </c>
      <c r="AJ184" s="156">
        <f>AVERAGE(D184:R184)</f>
        <v>5.4882339211554672E-2</v>
      </c>
    </row>
    <row r="185" spans="2:36">
      <c r="B185" s="87" t="s">
        <v>2</v>
      </c>
      <c r="C185" s="125"/>
      <c r="D185" s="150">
        <f t="shared" ref="D185:M185" si="175">D9/C9-1</f>
        <v>-2.7734976887519247E-2</v>
      </c>
      <c r="E185" s="150">
        <f t="shared" si="175"/>
        <v>3.8034865293185449E-2</v>
      </c>
      <c r="F185" s="150">
        <f t="shared" si="175"/>
        <v>-4.961832061068705E-2</v>
      </c>
      <c r="G185" s="150">
        <f t="shared" si="175"/>
        <v>-2.4096385542168308E-3</v>
      </c>
      <c r="H185" s="150">
        <f t="shared" si="175"/>
        <v>-2.4154589371980673E-2</v>
      </c>
      <c r="I185" s="150">
        <f t="shared" si="175"/>
        <v>-5.3630363036303641E-2</v>
      </c>
      <c r="J185" s="150">
        <f t="shared" si="175"/>
        <v>0.13949433304272008</v>
      </c>
      <c r="K185" s="150">
        <f t="shared" si="175"/>
        <v>6.2739097169089542E-2</v>
      </c>
      <c r="L185" s="150">
        <f t="shared" si="175"/>
        <v>6.695464362850978E-2</v>
      </c>
      <c r="M185" s="151">
        <f t="shared" si="175"/>
        <v>3.1713900134952677E-2</v>
      </c>
      <c r="N185" s="125"/>
      <c r="O185" s="125"/>
      <c r="P185" s="125"/>
      <c r="Q185" s="126"/>
      <c r="R185" s="151">
        <f>R9/M9-1</f>
        <v>3.8587311968606874E-2</v>
      </c>
      <c r="S185" s="125"/>
      <c r="T185" s="150">
        <f>AI185/4</f>
        <v>5.0000000000000001E-3</v>
      </c>
      <c r="U185" s="150"/>
      <c r="V185" s="150"/>
      <c r="W185" s="150"/>
      <c r="X185" s="150"/>
      <c r="Y185" s="157">
        <f>T185</f>
        <v>5.0000000000000001E-3</v>
      </c>
      <c r="Z185" s="151">
        <f>Y185</f>
        <v>5.0000000000000001E-3</v>
      </c>
      <c r="AA185" s="150">
        <f>AA9/R9-1</f>
        <v>-5.323104534005052E-2</v>
      </c>
      <c r="AB185" s="152">
        <v>0.03</v>
      </c>
      <c r="AC185" s="150">
        <f>AI185</f>
        <v>0.02</v>
      </c>
      <c r="AD185" s="150">
        <f t="shared" ref="AD185:AG185" si="176">AC185</f>
        <v>0.02</v>
      </c>
      <c r="AE185" s="150">
        <f t="shared" si="176"/>
        <v>0.02</v>
      </c>
      <c r="AF185" s="150">
        <f t="shared" si="176"/>
        <v>0.02</v>
      </c>
      <c r="AG185" s="150">
        <f t="shared" si="176"/>
        <v>0.02</v>
      </c>
      <c r="AH185" s="150">
        <f>AG185</f>
        <v>0.02</v>
      </c>
      <c r="AI185" s="155">
        <v>0.02</v>
      </c>
      <c r="AJ185" s="156">
        <f>AVERAGE(D185:R185)</f>
        <v>1.9997842070577906E-2</v>
      </c>
    </row>
    <row r="186" spans="2:36">
      <c r="B186" s="87" t="s">
        <v>117</v>
      </c>
      <c r="C186" s="125"/>
      <c r="D186" s="150">
        <f t="shared" ref="D186:M186" si="177">D11/C11-1</f>
        <v>2.3410547067520993E-2</v>
      </c>
      <c r="E186" s="150">
        <f t="shared" si="177"/>
        <v>6.3327714904888088E-2</v>
      </c>
      <c r="F186" s="150">
        <f t="shared" si="177"/>
        <v>2.9211956521739024E-2</v>
      </c>
      <c r="G186" s="150">
        <f t="shared" si="177"/>
        <v>2.4202420242024125E-2</v>
      </c>
      <c r="H186" s="150">
        <f t="shared" si="177"/>
        <v>-1.2459720730397472E-2</v>
      </c>
      <c r="I186" s="150">
        <f t="shared" si="177"/>
        <v>3.197737654992383E-2</v>
      </c>
      <c r="J186" s="150">
        <f t="shared" si="177"/>
        <v>8.0101180438448605E-2</v>
      </c>
      <c r="K186" s="150">
        <f t="shared" si="177"/>
        <v>6.7720530835284842E-2</v>
      </c>
      <c r="L186" s="150">
        <f t="shared" si="177"/>
        <v>4.6974958874063333E-2</v>
      </c>
      <c r="M186" s="151">
        <f t="shared" si="177"/>
        <v>6.0405027932960875E-2</v>
      </c>
      <c r="N186" s="125"/>
      <c r="O186" s="125"/>
      <c r="P186" s="125"/>
      <c r="Q186" s="126"/>
      <c r="R186" s="151">
        <f>R11/M11-1</f>
        <v>7.8037537043134764E-2</v>
      </c>
      <c r="S186" s="125"/>
      <c r="T186" s="150"/>
      <c r="U186" s="150"/>
      <c r="V186" s="150"/>
      <c r="W186" s="150"/>
      <c r="X186" s="150"/>
      <c r="Y186" s="157"/>
      <c r="Z186" s="151"/>
      <c r="AA186" s="150">
        <f>AA11/R11-1</f>
        <v>-4.0193326206475311E-2</v>
      </c>
      <c r="AB186" s="150">
        <f t="shared" ref="AB186:AG186" si="178">AB11/AA11-1</f>
        <v>4.899795651871397E-2</v>
      </c>
      <c r="AC186" s="150">
        <f t="shared" si="178"/>
        <v>4.627829832584629E-2</v>
      </c>
      <c r="AD186" s="150">
        <f t="shared" si="178"/>
        <v>4.6506920543242236E-2</v>
      </c>
      <c r="AE186" s="150">
        <f t="shared" si="178"/>
        <v>4.6731184295729644E-2</v>
      </c>
      <c r="AF186" s="150">
        <f t="shared" si="178"/>
        <v>4.6951086229495953E-2</v>
      </c>
      <c r="AG186" s="150">
        <f t="shared" si="178"/>
        <v>4.7166628063419092E-2</v>
      </c>
      <c r="AH186" s="150">
        <f>AH11/AG11-1</f>
        <v>4.7377816395576255E-2</v>
      </c>
      <c r="AI186" s="158">
        <f>AVERAGE(AA186:AH186)</f>
        <v>3.6227070520693516E-2</v>
      </c>
      <c r="AJ186" s="156">
        <f>AVERAGE(D186:R186)</f>
        <v>4.480995724359918E-2</v>
      </c>
    </row>
    <row r="187" spans="2:36">
      <c r="M187" s="59"/>
      <c r="Q187" s="59"/>
      <c r="R187" s="59"/>
      <c r="Y187" s="22"/>
      <c r="Z187" s="59"/>
      <c r="AI187" s="148"/>
      <c r="AJ187" s="149"/>
    </row>
    <row r="188" spans="2:36">
      <c r="B188" s="90" t="s">
        <v>70</v>
      </c>
      <c r="C188" s="125"/>
      <c r="D188" s="150">
        <f t="shared" ref="D188:M188" si="179">-D13/D8</f>
        <v>0.69137091162143349</v>
      </c>
      <c r="E188" s="150">
        <f t="shared" si="179"/>
        <v>0.69076175040518639</v>
      </c>
      <c r="F188" s="150">
        <f t="shared" si="179"/>
        <v>0.67858234036052556</v>
      </c>
      <c r="G188" s="150">
        <f t="shared" si="179"/>
        <v>0.66232998225901829</v>
      </c>
      <c r="H188" s="150">
        <f t="shared" si="179"/>
        <v>0.65416916616676668</v>
      </c>
      <c r="I188" s="150">
        <f t="shared" si="179"/>
        <v>0.65817770232031692</v>
      </c>
      <c r="J188" s="150">
        <f t="shared" si="179"/>
        <v>0.65903036760788491</v>
      </c>
      <c r="K188" s="150">
        <f t="shared" si="179"/>
        <v>0.65389400348345361</v>
      </c>
      <c r="L188" s="150">
        <f t="shared" si="179"/>
        <v>0.6630019120458891</v>
      </c>
      <c r="M188" s="151">
        <f t="shared" si="179"/>
        <v>0.67350579839429081</v>
      </c>
      <c r="N188" s="125"/>
      <c r="O188" s="125"/>
      <c r="P188" s="125"/>
      <c r="Q188" s="126"/>
      <c r="R188" s="151">
        <f>-R13/R8</f>
        <v>0.69732816642871709</v>
      </c>
      <c r="S188" s="125"/>
      <c r="T188" s="150">
        <f>AI188</f>
        <v>0.67</v>
      </c>
      <c r="U188" s="150"/>
      <c r="V188" s="150"/>
      <c r="W188" s="150"/>
      <c r="X188" s="150"/>
      <c r="Y188" s="157">
        <f>T188</f>
        <v>0.67</v>
      </c>
      <c r="Z188" s="151">
        <f>Y188</f>
        <v>0.67</v>
      </c>
      <c r="AA188" s="150">
        <f>-AA13/AA8</f>
        <v>0.68259645516997591</v>
      </c>
      <c r="AB188" s="150">
        <f>AI188</f>
        <v>0.67</v>
      </c>
      <c r="AC188" s="150">
        <f>AB188</f>
        <v>0.67</v>
      </c>
      <c r="AD188" s="150">
        <f t="shared" ref="AD188:AH188" si="180">AC188</f>
        <v>0.67</v>
      </c>
      <c r="AE188" s="150">
        <f t="shared" si="180"/>
        <v>0.67</v>
      </c>
      <c r="AF188" s="150">
        <f t="shared" si="180"/>
        <v>0.67</v>
      </c>
      <c r="AG188" s="150">
        <f t="shared" si="180"/>
        <v>0.67</v>
      </c>
      <c r="AH188" s="150">
        <f t="shared" si="180"/>
        <v>0.67</v>
      </c>
      <c r="AI188" s="155">
        <v>0.67</v>
      </c>
      <c r="AJ188" s="156">
        <f>AVERAGE(D188:R188)</f>
        <v>0.67110473646304392</v>
      </c>
    </row>
    <row r="189" spans="2:36">
      <c r="M189" s="59"/>
      <c r="Q189" s="59"/>
      <c r="R189" s="59"/>
      <c r="Y189" s="22"/>
      <c r="Z189" s="59"/>
      <c r="AI189" s="148"/>
      <c r="AJ189" s="149"/>
    </row>
    <row r="190" spans="2:36">
      <c r="B190" s="90" t="s">
        <v>71</v>
      </c>
      <c r="M190" s="59"/>
      <c r="Q190" s="59"/>
      <c r="R190" s="59"/>
      <c r="Y190" s="22"/>
      <c r="Z190" s="59"/>
      <c r="AI190" s="148"/>
      <c r="AJ190" s="149"/>
    </row>
    <row r="191" spans="2:36">
      <c r="B191" s="87" t="s">
        <v>1</v>
      </c>
      <c r="C191" s="125"/>
      <c r="D191" s="150">
        <f t="shared" ref="D191:M191" si="181">-D18/D8</f>
        <v>0.13639526791927628</v>
      </c>
      <c r="E191" s="150">
        <f t="shared" si="181"/>
        <v>0.13387358184764991</v>
      </c>
      <c r="F191" s="150">
        <f t="shared" si="181"/>
        <v>0.14054384356859151</v>
      </c>
      <c r="G191" s="150">
        <f t="shared" si="181"/>
        <v>0.16232998225901835</v>
      </c>
      <c r="H191" s="150">
        <f t="shared" si="181"/>
        <v>0.15926814637072587</v>
      </c>
      <c r="I191" s="150">
        <f t="shared" si="181"/>
        <v>0.15959252971137522</v>
      </c>
      <c r="J191" s="150">
        <f t="shared" si="181"/>
        <v>0.16036228023441662</v>
      </c>
      <c r="K191" s="150">
        <f t="shared" si="181"/>
        <v>0.15153023140084598</v>
      </c>
      <c r="L191" s="150">
        <f t="shared" si="181"/>
        <v>0.14531548757170173</v>
      </c>
      <c r="M191" s="151">
        <f t="shared" si="181"/>
        <v>0.14986619090098127</v>
      </c>
      <c r="N191" s="125"/>
      <c r="O191" s="125"/>
      <c r="P191" s="125"/>
      <c r="Q191" s="126"/>
      <c r="R191" s="151">
        <f>-R18/R8</f>
        <v>0.15133591678564146</v>
      </c>
      <c r="S191" s="125"/>
      <c r="T191" s="152">
        <v>0.15</v>
      </c>
      <c r="U191" s="152"/>
      <c r="V191" s="152"/>
      <c r="W191" s="152"/>
      <c r="X191" s="152"/>
      <c r="Y191" s="153">
        <v>0.15</v>
      </c>
      <c r="Z191" s="154">
        <v>0.15</v>
      </c>
      <c r="AA191" s="150">
        <f>-AA18/AA8</f>
        <v>0.14152263435460366</v>
      </c>
      <c r="AB191" s="152">
        <v>0.15</v>
      </c>
      <c r="AC191" s="150">
        <f>AI191</f>
        <v>0.15</v>
      </c>
      <c r="AD191" s="150">
        <f>AC191</f>
        <v>0.15</v>
      </c>
      <c r="AE191" s="150">
        <f t="shared" ref="AC191:AG192" si="182">AD191</f>
        <v>0.15</v>
      </c>
      <c r="AF191" s="150">
        <f t="shared" si="182"/>
        <v>0.15</v>
      </c>
      <c r="AG191" s="150">
        <f t="shared" si="182"/>
        <v>0.15</v>
      </c>
      <c r="AH191" s="150">
        <f t="shared" ref="AH191:AH192" si="183">AG191</f>
        <v>0.15</v>
      </c>
      <c r="AI191" s="155">
        <v>0.15</v>
      </c>
      <c r="AJ191" s="156">
        <f>AVERAGE(D191:R191)</f>
        <v>0.15003758714274767</v>
      </c>
    </row>
    <row r="192" spans="2:36">
      <c r="B192" s="87" t="s">
        <v>2</v>
      </c>
      <c r="C192" s="125"/>
      <c r="D192" s="150">
        <f t="shared" ref="D192:M192" si="184">-D19/D9</f>
        <v>0.28209191759112517</v>
      </c>
      <c r="E192" s="150">
        <f t="shared" si="184"/>
        <v>0.26946564885496183</v>
      </c>
      <c r="F192" s="150">
        <f t="shared" si="184"/>
        <v>0.31325301204819278</v>
      </c>
      <c r="G192" s="150">
        <f t="shared" si="184"/>
        <v>0.33413848631239934</v>
      </c>
      <c r="H192" s="150">
        <f t="shared" si="184"/>
        <v>0.31930693069306931</v>
      </c>
      <c r="I192" s="150">
        <f t="shared" si="184"/>
        <v>0.3818657367044464</v>
      </c>
      <c r="J192" s="150">
        <f t="shared" si="184"/>
        <v>0.31828615149196632</v>
      </c>
      <c r="K192" s="150">
        <f t="shared" si="184"/>
        <v>0.30381569474442044</v>
      </c>
      <c r="L192" s="150">
        <f t="shared" si="184"/>
        <v>0.27125506072874495</v>
      </c>
      <c r="M192" s="151">
        <f t="shared" si="184"/>
        <v>0.24525833878351863</v>
      </c>
      <c r="N192" s="125"/>
      <c r="O192" s="125"/>
      <c r="P192" s="125"/>
      <c r="Q192" s="126"/>
      <c r="R192" s="159">
        <f>-R19/R9</f>
        <v>0.24811083123425692</v>
      </c>
      <c r="S192" s="125"/>
      <c r="T192" s="150">
        <f>AI192</f>
        <v>0.25</v>
      </c>
      <c r="U192" s="150"/>
      <c r="V192" s="150"/>
      <c r="W192" s="150"/>
      <c r="X192" s="150"/>
      <c r="Y192" s="157">
        <f>T192</f>
        <v>0.25</v>
      </c>
      <c r="Z192" s="151">
        <f>Y192</f>
        <v>0.25</v>
      </c>
      <c r="AA192" s="150">
        <f>-AA19/AA9</f>
        <v>0.25299307780918145</v>
      </c>
      <c r="AB192" s="150">
        <f>AI192</f>
        <v>0.25</v>
      </c>
      <c r="AC192" s="150">
        <f t="shared" si="182"/>
        <v>0.25</v>
      </c>
      <c r="AD192" s="150">
        <f t="shared" si="182"/>
        <v>0.25</v>
      </c>
      <c r="AE192" s="150">
        <f t="shared" si="182"/>
        <v>0.25</v>
      </c>
      <c r="AF192" s="150">
        <f t="shared" si="182"/>
        <v>0.25</v>
      </c>
      <c r="AG192" s="150">
        <f t="shared" si="182"/>
        <v>0.25</v>
      </c>
      <c r="AH192" s="150">
        <f t="shared" si="183"/>
        <v>0.25</v>
      </c>
      <c r="AI192" s="155">
        <v>0.25</v>
      </c>
      <c r="AJ192" s="156">
        <f>AVERAGE(D192:R192)</f>
        <v>0.29880434628973657</v>
      </c>
    </row>
    <row r="193" spans="2:36">
      <c r="M193" s="59"/>
      <c r="Q193" s="59"/>
      <c r="R193" s="89"/>
      <c r="Y193" s="22"/>
      <c r="Z193" s="59"/>
      <c r="AI193" s="148"/>
      <c r="AJ193" s="149"/>
    </row>
    <row r="194" spans="2:36">
      <c r="B194" s="90" t="s">
        <v>161</v>
      </c>
      <c r="M194" s="59"/>
      <c r="Q194" s="59"/>
      <c r="R194" s="89"/>
      <c r="Y194" s="22"/>
      <c r="Z194" s="59"/>
      <c r="AI194" s="148"/>
      <c r="AJ194" s="149"/>
    </row>
    <row r="195" spans="2:36">
      <c r="B195" s="90" t="s">
        <v>388</v>
      </c>
      <c r="C195" s="125"/>
      <c r="D195" s="150">
        <f t="shared" ref="D195:M195" si="185">-D26/(AVERAGE(C85:D85))</f>
        <v>3.276226878711351E-2</v>
      </c>
      <c r="E195" s="150">
        <f t="shared" si="185"/>
        <v>3.1941757124585968E-2</v>
      </c>
      <c r="F195" s="150">
        <f t="shared" si="185"/>
        <v>3.2399106665408448E-2</v>
      </c>
      <c r="G195" s="150">
        <f t="shared" si="185"/>
        <v>3.1593948030684334E-2</v>
      </c>
      <c r="H195" s="150">
        <f t="shared" si="185"/>
        <v>3.2162455615224343E-2</v>
      </c>
      <c r="I195" s="150">
        <f t="shared" si="185"/>
        <v>3.0049522956828292E-2</v>
      </c>
      <c r="J195" s="150">
        <f t="shared" si="185"/>
        <v>3.0544349557290303E-2</v>
      </c>
      <c r="K195" s="150">
        <f t="shared" si="185"/>
        <v>3.0214592274678112E-2</v>
      </c>
      <c r="L195" s="150">
        <f t="shared" si="185"/>
        <v>3.0189197856063034E-2</v>
      </c>
      <c r="M195" s="151">
        <f t="shared" si="185"/>
        <v>2.9094039165052724E-2</v>
      </c>
      <c r="N195" s="125"/>
      <c r="O195" s="125"/>
      <c r="P195" s="125"/>
      <c r="Q195" s="126"/>
      <c r="R195" s="159">
        <f>-R26/(AVERAGE(R85,M85))</f>
        <v>2.9363917358060841E-2</v>
      </c>
      <c r="S195" s="125"/>
      <c r="T195" s="125"/>
      <c r="U195" s="125"/>
      <c r="V195" s="125"/>
      <c r="W195" s="125"/>
      <c r="X195" s="125"/>
      <c r="Y195" s="127"/>
      <c r="Z195" s="126"/>
      <c r="AA195" s="125"/>
      <c r="AB195" s="125"/>
      <c r="AC195" s="125"/>
      <c r="AD195" s="125"/>
      <c r="AE195" s="125"/>
      <c r="AF195" s="125"/>
      <c r="AG195" s="125"/>
      <c r="AH195" s="125"/>
      <c r="AI195" s="160"/>
      <c r="AJ195" s="161"/>
    </row>
    <row r="196" spans="2:36">
      <c r="B196" s="87" t="s">
        <v>1</v>
      </c>
      <c r="C196" s="125"/>
      <c r="D196" s="150">
        <f t="shared" ref="D196:M196" si="186">-D23/(AVERAGE(C159:D159))</f>
        <v>4.7301394784718009E-2</v>
      </c>
      <c r="E196" s="150">
        <f t="shared" si="186"/>
        <v>4.5450168512277324E-2</v>
      </c>
      <c r="F196" s="150">
        <f t="shared" si="186"/>
        <v>4.9042844120328166E-2</v>
      </c>
      <c r="G196" s="150">
        <f t="shared" si="186"/>
        <v>4.7240006921612739E-2</v>
      </c>
      <c r="H196" s="150">
        <f t="shared" si="186"/>
        <v>4.6956806282722516E-2</v>
      </c>
      <c r="I196" s="150">
        <f t="shared" si="186"/>
        <v>4.3850267379679148E-2</v>
      </c>
      <c r="J196" s="150">
        <f t="shared" si="186"/>
        <v>4.284796115118189E-2</v>
      </c>
      <c r="K196" s="150">
        <f t="shared" si="186"/>
        <v>4.1009038176176987E-2</v>
      </c>
      <c r="L196" s="150">
        <f t="shared" si="186"/>
        <v>4.2176783539516698E-2</v>
      </c>
      <c r="M196" s="151">
        <f t="shared" si="186"/>
        <v>4.1204629461310066E-2</v>
      </c>
      <c r="N196" s="125"/>
      <c r="O196" s="125"/>
      <c r="P196" s="125"/>
      <c r="Q196" s="126"/>
      <c r="R196" s="159">
        <f>-R23/(AVERAGE(R159,M159))</f>
        <v>4.1766245590076252E-2</v>
      </c>
      <c r="S196" s="125"/>
      <c r="T196" s="150">
        <f>AI196/4</f>
        <v>1.0500000000000001E-2</v>
      </c>
      <c r="U196" s="150"/>
      <c r="V196" s="150"/>
      <c r="W196" s="150"/>
      <c r="X196" s="150"/>
      <c r="Y196" s="157">
        <f>T196</f>
        <v>1.0500000000000001E-2</v>
      </c>
      <c r="Z196" s="151">
        <f>Y196</f>
        <v>1.0500000000000001E-2</v>
      </c>
      <c r="AA196" s="150">
        <f>-AA23/(AVERAGE(AA159,R159))</f>
        <v>4.0547616432337431E-2</v>
      </c>
      <c r="AB196" s="150">
        <f>AI196</f>
        <v>4.2000000000000003E-2</v>
      </c>
      <c r="AC196" s="150">
        <f t="shared" ref="AC196:AG197" si="187">AB196</f>
        <v>4.2000000000000003E-2</v>
      </c>
      <c r="AD196" s="150">
        <f t="shared" si="187"/>
        <v>4.2000000000000003E-2</v>
      </c>
      <c r="AE196" s="150">
        <f t="shared" si="187"/>
        <v>4.2000000000000003E-2</v>
      </c>
      <c r="AF196" s="150">
        <f t="shared" si="187"/>
        <v>4.2000000000000003E-2</v>
      </c>
      <c r="AG196" s="150">
        <f t="shared" si="187"/>
        <v>4.2000000000000003E-2</v>
      </c>
      <c r="AH196" s="150">
        <f t="shared" ref="AH196" si="188">AG196</f>
        <v>4.2000000000000003E-2</v>
      </c>
      <c r="AI196" s="155">
        <v>4.2000000000000003E-2</v>
      </c>
      <c r="AJ196" s="156">
        <f>AVERAGE(D196:R196)</f>
        <v>4.4440558719963622E-2</v>
      </c>
    </row>
    <row r="197" spans="2:36">
      <c r="B197" s="87" t="s">
        <v>2</v>
      </c>
      <c r="C197" s="125"/>
      <c r="D197" s="150">
        <f t="shared" ref="D197:M197" si="189">-D24/(AVERAGE(C153:D153))</f>
        <v>3.1213573371324958E-2</v>
      </c>
      <c r="E197" s="150">
        <f t="shared" si="189"/>
        <v>3.0832863320172967E-2</v>
      </c>
      <c r="F197" s="150">
        <f t="shared" si="189"/>
        <v>2.93598099530974E-2</v>
      </c>
      <c r="G197" s="150">
        <f t="shared" si="189"/>
        <v>2.8440474791397344E-2</v>
      </c>
      <c r="H197" s="150">
        <f t="shared" si="189"/>
        <v>2.8668171557562076E-2</v>
      </c>
      <c r="I197" s="150">
        <f t="shared" si="189"/>
        <v>2.5974025974025976E-2</v>
      </c>
      <c r="J197" s="150">
        <f t="shared" si="189"/>
        <v>2.7731220478439737E-2</v>
      </c>
      <c r="K197" s="150">
        <f t="shared" si="189"/>
        <v>2.8612032212221698E-2</v>
      </c>
      <c r="L197" s="150">
        <f t="shared" si="189"/>
        <v>2.8136815264222282E-2</v>
      </c>
      <c r="M197" s="151">
        <f t="shared" si="189"/>
        <v>2.6965736197583804E-2</v>
      </c>
      <c r="N197" s="125"/>
      <c r="O197" s="125"/>
      <c r="P197" s="125"/>
      <c r="Q197" s="126"/>
      <c r="R197" s="159">
        <f>-R24/(AVERAGE(R153,M153))</f>
        <v>2.7008039965654516E-2</v>
      </c>
      <c r="S197" s="125"/>
      <c r="T197" s="150">
        <f>AI197/4</f>
        <v>7.0000000000000001E-3</v>
      </c>
      <c r="U197" s="150"/>
      <c r="V197" s="150"/>
      <c r="W197" s="150"/>
      <c r="X197" s="150"/>
      <c r="Y197" s="157">
        <f>T197</f>
        <v>7.0000000000000001E-3</v>
      </c>
      <c r="Z197" s="151">
        <f>Y197</f>
        <v>7.0000000000000001E-3</v>
      </c>
      <c r="AA197" s="150">
        <f>-AA24/(AVERAGE(AA153,R153))</f>
        <v>2.7815316469597687E-2</v>
      </c>
      <c r="AB197" s="150">
        <f>AI197</f>
        <v>2.8000000000000001E-2</v>
      </c>
      <c r="AC197" s="150">
        <f t="shared" si="187"/>
        <v>2.8000000000000001E-2</v>
      </c>
      <c r="AD197" s="150">
        <f t="shared" si="187"/>
        <v>2.8000000000000001E-2</v>
      </c>
      <c r="AE197" s="150">
        <f t="shared" si="187"/>
        <v>2.8000000000000001E-2</v>
      </c>
      <c r="AF197" s="150">
        <f t="shared" si="187"/>
        <v>2.8000000000000001E-2</v>
      </c>
      <c r="AG197" s="150">
        <f t="shared" si="187"/>
        <v>2.8000000000000001E-2</v>
      </c>
      <c r="AH197" s="150">
        <f t="shared" ref="AH197" si="190">AG197</f>
        <v>2.8000000000000001E-2</v>
      </c>
      <c r="AI197" s="155">
        <v>2.8000000000000001E-2</v>
      </c>
      <c r="AJ197" s="156">
        <f>AVERAGE(D197:R197)</f>
        <v>2.8449342098700255E-2</v>
      </c>
    </row>
    <row r="198" spans="2:36">
      <c r="C198" s="162"/>
      <c r="D198" s="163"/>
      <c r="E198" s="163"/>
      <c r="F198" s="163"/>
      <c r="G198" s="163"/>
      <c r="H198" s="163"/>
      <c r="I198" s="163"/>
      <c r="J198" s="163"/>
      <c r="K198" s="163"/>
      <c r="L198" s="163"/>
      <c r="M198" s="164"/>
      <c r="N198" s="162"/>
      <c r="O198" s="162"/>
      <c r="P198" s="162"/>
      <c r="Q198" s="119"/>
      <c r="R198" s="165"/>
      <c r="S198" s="162"/>
      <c r="T198" s="163"/>
      <c r="U198" s="163"/>
      <c r="V198" s="163"/>
      <c r="W198" s="163"/>
      <c r="X198" s="163"/>
      <c r="Y198" s="166"/>
      <c r="Z198" s="164"/>
      <c r="AA198" s="163"/>
      <c r="AB198" s="163"/>
      <c r="AC198" s="163"/>
      <c r="AD198" s="163"/>
      <c r="AE198" s="163"/>
      <c r="AF198" s="163"/>
      <c r="AG198" s="163"/>
      <c r="AH198" s="163"/>
      <c r="AI198" s="167"/>
      <c r="AJ198" s="168"/>
    </row>
    <row r="199" spans="2:36">
      <c r="B199" s="90" t="s">
        <v>162</v>
      </c>
      <c r="C199" s="162"/>
      <c r="D199" s="163"/>
      <c r="E199" s="163"/>
      <c r="F199" s="163"/>
      <c r="G199" s="163"/>
      <c r="H199" s="163"/>
      <c r="I199" s="163"/>
      <c r="J199" s="163"/>
      <c r="K199" s="163"/>
      <c r="L199" s="163"/>
      <c r="M199" s="164"/>
      <c r="N199" s="162"/>
      <c r="O199" s="162"/>
      <c r="P199" s="162"/>
      <c r="Q199" s="119"/>
      <c r="R199" s="165"/>
      <c r="S199" s="162"/>
      <c r="T199" s="163"/>
      <c r="U199" s="163"/>
      <c r="V199" s="163"/>
      <c r="W199" s="163"/>
      <c r="X199" s="163"/>
      <c r="Y199" s="166"/>
      <c r="Z199" s="164"/>
      <c r="AA199" s="163"/>
      <c r="AB199" s="163"/>
      <c r="AC199" s="163"/>
      <c r="AD199" s="163"/>
      <c r="AE199" s="163"/>
      <c r="AF199" s="163"/>
      <c r="AG199" s="163"/>
      <c r="AH199" s="163"/>
      <c r="AI199" s="167"/>
      <c r="AJ199" s="168"/>
    </row>
    <row r="200" spans="2:36">
      <c r="B200" s="90" t="s">
        <v>388</v>
      </c>
      <c r="C200" s="125"/>
      <c r="D200" s="150">
        <f t="shared" ref="D200:M200" si="191">-D26/(AVERAGE(C87:D87))</f>
        <v>5.146901136607334E-2</v>
      </c>
      <c r="E200" s="150">
        <f t="shared" si="191"/>
        <v>5.0729166666666665E-2</v>
      </c>
      <c r="F200" s="150">
        <f t="shared" si="191"/>
        <v>5.2038599504875459E-2</v>
      </c>
      <c r="G200" s="150">
        <f t="shared" si="191"/>
        <v>5.0629221126281522E-2</v>
      </c>
      <c r="H200" s="150">
        <f t="shared" si="191"/>
        <v>5.1121787396800226E-2</v>
      </c>
      <c r="I200" s="150">
        <f t="shared" si="191"/>
        <v>4.7716367513772881E-2</v>
      </c>
      <c r="J200" s="150">
        <f t="shared" si="191"/>
        <v>4.8357664233576646E-2</v>
      </c>
      <c r="K200" s="150">
        <f t="shared" si="191"/>
        <v>4.7661418236682268E-2</v>
      </c>
      <c r="L200" s="150">
        <f t="shared" si="191"/>
        <v>4.7352159229719047E-2</v>
      </c>
      <c r="M200" s="151">
        <f t="shared" si="191"/>
        <v>4.5506563446650959E-2</v>
      </c>
      <c r="N200" s="125"/>
      <c r="O200" s="125"/>
      <c r="P200" s="125"/>
      <c r="Q200" s="126"/>
      <c r="R200" s="159">
        <f>-R26/(AVERAGE(R87,M87))</f>
        <v>4.5947751933051201E-2</v>
      </c>
      <c r="S200" s="125"/>
      <c r="T200" s="125"/>
      <c r="U200" s="125"/>
      <c r="V200" s="125"/>
      <c r="W200" s="125"/>
      <c r="X200" s="125"/>
      <c r="Y200" s="127"/>
      <c r="Z200" s="126"/>
      <c r="AA200" s="125"/>
      <c r="AB200" s="125"/>
      <c r="AC200" s="125"/>
      <c r="AD200" s="125"/>
      <c r="AE200" s="125"/>
      <c r="AF200" s="125"/>
      <c r="AG200" s="125"/>
      <c r="AH200" s="125"/>
      <c r="AI200" s="160"/>
      <c r="AJ200" s="161"/>
    </row>
    <row r="201" spans="2:36">
      <c r="B201" s="87" t="s">
        <v>1</v>
      </c>
      <c r="C201" s="125"/>
      <c r="D201" s="150">
        <f t="shared" ref="D201:M201" si="192">-D23/(AVERAGE(C162:D162))</f>
        <v>7.4179743223965769E-2</v>
      </c>
      <c r="E201" s="150">
        <f t="shared" si="192"/>
        <v>7.1234530636884993E-2</v>
      </c>
      <c r="F201" s="150">
        <f t="shared" si="192"/>
        <v>7.6890095755323712E-2</v>
      </c>
      <c r="G201" s="150">
        <f t="shared" si="192"/>
        <v>7.2829131652661069E-2</v>
      </c>
      <c r="H201" s="150">
        <f t="shared" si="192"/>
        <v>7.082048118445404E-2</v>
      </c>
      <c r="I201" s="150">
        <f t="shared" si="192"/>
        <v>6.5101508449586024E-2</v>
      </c>
      <c r="J201" s="150">
        <f t="shared" si="192"/>
        <v>6.2912865681031771E-2</v>
      </c>
      <c r="K201" s="150">
        <f t="shared" si="192"/>
        <v>6.0323444786189104E-2</v>
      </c>
      <c r="L201" s="150">
        <f t="shared" si="192"/>
        <v>6.2648767018946963E-2</v>
      </c>
      <c r="M201" s="151">
        <f t="shared" si="192"/>
        <v>6.1107117181883538E-2</v>
      </c>
      <c r="N201" s="125"/>
      <c r="O201" s="125"/>
      <c r="P201" s="125"/>
      <c r="Q201" s="126"/>
      <c r="R201" s="159">
        <f>-R23/(AVERAGE(R162,M162))</f>
        <v>6.1479185861462435E-2</v>
      </c>
      <c r="S201" s="125"/>
      <c r="T201" s="150">
        <f>AI201/4</f>
        <v>1.6750000000000001E-2</v>
      </c>
      <c r="U201" s="150"/>
      <c r="V201" s="150"/>
      <c r="W201" s="150"/>
      <c r="X201" s="150"/>
      <c r="Y201" s="157">
        <f>T201</f>
        <v>1.6750000000000001E-2</v>
      </c>
      <c r="Z201" s="151">
        <f>Y201</f>
        <v>1.6750000000000001E-2</v>
      </c>
      <c r="AA201" s="150">
        <f>-AA23/(AVERAGE(AA162,R162))</f>
        <v>6.0002416217770707E-2</v>
      </c>
      <c r="AB201" s="150">
        <f>AI201</f>
        <v>6.7000000000000004E-2</v>
      </c>
      <c r="AC201" s="150">
        <f t="shared" ref="AC201:AH202" si="193">AB201</f>
        <v>6.7000000000000004E-2</v>
      </c>
      <c r="AD201" s="150">
        <f t="shared" si="193"/>
        <v>6.7000000000000004E-2</v>
      </c>
      <c r="AE201" s="150">
        <f t="shared" si="193"/>
        <v>6.7000000000000004E-2</v>
      </c>
      <c r="AF201" s="150">
        <f t="shared" si="193"/>
        <v>6.7000000000000004E-2</v>
      </c>
      <c r="AG201" s="150">
        <f t="shared" si="193"/>
        <v>6.7000000000000004E-2</v>
      </c>
      <c r="AH201" s="150">
        <f t="shared" si="193"/>
        <v>6.7000000000000004E-2</v>
      </c>
      <c r="AI201" s="155">
        <v>6.7000000000000004E-2</v>
      </c>
      <c r="AJ201" s="156">
        <f>AVERAGE(D201:R201)</f>
        <v>6.7229715584762664E-2</v>
      </c>
    </row>
    <row r="202" spans="2:36">
      <c r="B202" s="87" t="s">
        <v>2</v>
      </c>
      <c r="C202" s="125"/>
      <c r="D202" s="150">
        <f t="shared" ref="D202:M202" si="194">-D24/(AVERAGE(C156:D156))</f>
        <v>4.5922256097560975E-2</v>
      </c>
      <c r="E202" s="150">
        <f t="shared" si="194"/>
        <v>4.556821339260906E-2</v>
      </c>
      <c r="F202" s="150">
        <f t="shared" si="194"/>
        <v>4.3439077144917085E-2</v>
      </c>
      <c r="G202" s="150">
        <f t="shared" si="194"/>
        <v>4.1828709705297729E-2</v>
      </c>
      <c r="H202" s="150">
        <f t="shared" si="194"/>
        <v>4.1334418226200161E-2</v>
      </c>
      <c r="I202" s="150">
        <f t="shared" si="194"/>
        <v>3.6000900022500559E-2</v>
      </c>
      <c r="J202" s="150">
        <f t="shared" si="194"/>
        <v>3.7310373103731038E-2</v>
      </c>
      <c r="K202" s="150">
        <f t="shared" si="194"/>
        <v>3.8172280856980344E-2</v>
      </c>
      <c r="L202" s="150">
        <f t="shared" si="194"/>
        <v>3.8401536061442455E-2</v>
      </c>
      <c r="M202" s="151">
        <f t="shared" si="194"/>
        <v>3.7672811059907836E-2</v>
      </c>
      <c r="N202" s="125"/>
      <c r="O202" s="125"/>
      <c r="P202" s="125"/>
      <c r="Q202" s="126"/>
      <c r="R202" s="159">
        <f>-R24/(AVERAGE(R156,M156))</f>
        <v>3.783902012248469E-2</v>
      </c>
      <c r="S202" s="125"/>
      <c r="T202" s="150">
        <f>AI202/4</f>
        <v>0.01</v>
      </c>
      <c r="U202" s="150"/>
      <c r="V202" s="150"/>
      <c r="W202" s="150"/>
      <c r="X202" s="150"/>
      <c r="Y202" s="157">
        <f>T202</f>
        <v>0.01</v>
      </c>
      <c r="Z202" s="151">
        <f>Y202</f>
        <v>0.01</v>
      </c>
      <c r="AA202" s="150">
        <f>-AA24/(AVERAGE(AA156,R156))</f>
        <v>3.9253380332146606E-2</v>
      </c>
      <c r="AB202" s="150">
        <f>AI202</f>
        <v>0.04</v>
      </c>
      <c r="AC202" s="150">
        <f t="shared" si="193"/>
        <v>0.04</v>
      </c>
      <c r="AD202" s="150">
        <f t="shared" si="193"/>
        <v>0.04</v>
      </c>
      <c r="AE202" s="150">
        <f t="shared" si="193"/>
        <v>0.04</v>
      </c>
      <c r="AF202" s="150">
        <f t="shared" si="193"/>
        <v>0.04</v>
      </c>
      <c r="AG202" s="150">
        <f t="shared" si="193"/>
        <v>0.04</v>
      </c>
      <c r="AH202" s="150">
        <f t="shared" si="193"/>
        <v>0.04</v>
      </c>
      <c r="AI202" s="155">
        <v>0.04</v>
      </c>
      <c r="AJ202" s="156">
        <f>AVERAGE(D202:R202)</f>
        <v>4.0317235981239263E-2</v>
      </c>
    </row>
    <row r="203" spans="2:36">
      <c r="M203" s="59"/>
      <c r="Q203" s="59"/>
      <c r="R203" s="89"/>
      <c r="Y203" s="22"/>
      <c r="Z203" s="59"/>
      <c r="AI203" s="148"/>
      <c r="AJ203" s="149"/>
    </row>
    <row r="204" spans="2:36">
      <c r="B204" s="90" t="s">
        <v>8</v>
      </c>
      <c r="M204" s="59"/>
      <c r="Q204" s="59"/>
      <c r="R204" s="89"/>
      <c r="Y204" s="22"/>
      <c r="Z204" s="59"/>
      <c r="AI204" s="148"/>
      <c r="AJ204" s="149"/>
    </row>
    <row r="205" spans="2:36">
      <c r="B205" s="87" t="s">
        <v>91</v>
      </c>
      <c r="C205" s="5">
        <f t="shared" ref="C205:M205" si="195">C104+C99</f>
        <v>5073</v>
      </c>
      <c r="D205" s="5">
        <f t="shared" si="195"/>
        <v>5201</v>
      </c>
      <c r="E205" s="5">
        <f t="shared" si="195"/>
        <v>5064</v>
      </c>
      <c r="F205" s="5">
        <f t="shared" si="195"/>
        <v>5356</v>
      </c>
      <c r="G205" s="5">
        <f t="shared" si="195"/>
        <v>5615</v>
      </c>
      <c r="H205" s="5">
        <f t="shared" si="195"/>
        <v>6133</v>
      </c>
      <c r="I205" s="5">
        <f t="shared" si="195"/>
        <v>6962</v>
      </c>
      <c r="J205" s="5">
        <f t="shared" si="195"/>
        <v>7778</v>
      </c>
      <c r="K205" s="5">
        <f t="shared" si="195"/>
        <v>8070</v>
      </c>
      <c r="L205" s="5">
        <f t="shared" si="195"/>
        <v>8544</v>
      </c>
      <c r="M205" s="59">
        <f t="shared" si="195"/>
        <v>9108</v>
      </c>
      <c r="N205" s="125"/>
      <c r="O205" s="125"/>
      <c r="P205" s="125"/>
      <c r="Q205" s="126"/>
      <c r="R205" s="89">
        <f t="shared" ref="R205:AH205" si="196">R104+R99</f>
        <v>8945</v>
      </c>
      <c r="S205" s="5">
        <f>S104+S99</f>
        <v>8978</v>
      </c>
      <c r="T205" s="5">
        <f>T104+T99</f>
        <v>9290</v>
      </c>
      <c r="X205" s="5">
        <f>X104+X99</f>
        <v>10090</v>
      </c>
      <c r="Y205" s="22">
        <f>Y104+Y99</f>
        <v>10392.201025</v>
      </c>
      <c r="Z205" s="59">
        <f>Z104+Z99</f>
        <v>10555.489938953126</v>
      </c>
      <c r="AA205" s="5">
        <f t="shared" si="196"/>
        <v>10555.489938953126</v>
      </c>
      <c r="AB205" s="5">
        <f t="shared" si="196"/>
        <v>11088.69913819254</v>
      </c>
      <c r="AC205" s="5">
        <f t="shared" si="196"/>
        <v>11567.669995370998</v>
      </c>
      <c r="AD205" s="5">
        <f t="shared" si="196"/>
        <v>12003.858951851807</v>
      </c>
      <c r="AE205" s="5">
        <f t="shared" si="196"/>
        <v>12399.336776621225</v>
      </c>
      <c r="AF205" s="5">
        <f t="shared" si="196"/>
        <v>12757.026264911037</v>
      </c>
      <c r="AG205" s="5">
        <f t="shared" si="196"/>
        <v>13088.524519887693</v>
      </c>
      <c r="AH205" s="5">
        <f t="shared" si="196"/>
        <v>13388.716434328728</v>
      </c>
      <c r="AI205" s="148"/>
      <c r="AJ205" s="149"/>
    </row>
    <row r="206" spans="2:36">
      <c r="B206" s="87" t="s">
        <v>90</v>
      </c>
      <c r="C206" s="125"/>
      <c r="D206" s="150">
        <f t="shared" ref="D206:M206" si="197">D122/(AVERAGE(C205:D205))</f>
        <v>5.5869184348841736E-2</v>
      </c>
      <c r="E206" s="150">
        <f t="shared" si="197"/>
        <v>5.8061373599610326E-2</v>
      </c>
      <c r="F206" s="150">
        <f t="shared" si="197"/>
        <v>5.7197696737044147E-2</v>
      </c>
      <c r="G206" s="150">
        <f t="shared" si="197"/>
        <v>5.687722176647525E-2</v>
      </c>
      <c r="H206" s="150">
        <f t="shared" si="197"/>
        <v>5.6690500510725231E-2</v>
      </c>
      <c r="I206" s="150">
        <f t="shared" si="197"/>
        <v>5.6357388316151204E-2</v>
      </c>
      <c r="J206" s="150">
        <f t="shared" si="197"/>
        <v>5.549525101763908E-2</v>
      </c>
      <c r="K206" s="150">
        <f t="shared" si="197"/>
        <v>5.1993942453306408E-2</v>
      </c>
      <c r="L206" s="150">
        <f t="shared" si="197"/>
        <v>5.0680149271698567E-2</v>
      </c>
      <c r="M206" s="151">
        <f t="shared" si="197"/>
        <v>4.7133469295263991E-2</v>
      </c>
      <c r="N206" s="125"/>
      <c r="O206" s="125"/>
      <c r="P206" s="125"/>
      <c r="Q206" s="126"/>
      <c r="R206" s="159">
        <f>R122/(AVERAGE(R205,M205))</f>
        <v>4.7859081593087022E-2</v>
      </c>
      <c r="S206" s="125"/>
      <c r="T206" s="150">
        <f>AI206/4</f>
        <v>1.2500000000000001E-2</v>
      </c>
      <c r="U206" s="150"/>
      <c r="V206" s="150"/>
      <c r="W206" s="150"/>
      <c r="X206" s="150"/>
      <c r="Y206" s="157">
        <f>T206</f>
        <v>1.2500000000000001E-2</v>
      </c>
      <c r="Z206" s="151">
        <f>Y206</f>
        <v>1.2500000000000001E-2</v>
      </c>
      <c r="AA206" s="150">
        <f>-AA38/(AVERAGE(AA205,R205))</f>
        <v>4.1240144639574795E-2</v>
      </c>
      <c r="AB206" s="150">
        <f>AI206</f>
        <v>0.05</v>
      </c>
      <c r="AC206" s="150">
        <f t="shared" ref="AC206:AH207" si="198">AB206</f>
        <v>0.05</v>
      </c>
      <c r="AD206" s="150">
        <f>AC206</f>
        <v>0.05</v>
      </c>
      <c r="AE206" s="150">
        <f t="shared" si="198"/>
        <v>0.05</v>
      </c>
      <c r="AF206" s="150">
        <f t="shared" si="198"/>
        <v>0.05</v>
      </c>
      <c r="AG206" s="150">
        <f t="shared" si="198"/>
        <v>0.05</v>
      </c>
      <c r="AH206" s="150">
        <f t="shared" si="198"/>
        <v>0.05</v>
      </c>
      <c r="AI206" s="155">
        <v>0.05</v>
      </c>
      <c r="AJ206" s="156">
        <f>AVERAGE(D206:R206)</f>
        <v>5.4019568991803907E-2</v>
      </c>
    </row>
    <row r="207" spans="2:36">
      <c r="B207" s="87" t="s">
        <v>58</v>
      </c>
      <c r="C207" s="125"/>
      <c r="D207" s="150">
        <f t="shared" ref="D207:M207" si="199">-D124/(AVERAGE(C88:D88))</f>
        <v>7.3482428115015971E-2</v>
      </c>
      <c r="E207" s="150">
        <f t="shared" si="199"/>
        <v>5.8091286307053944E-2</v>
      </c>
      <c r="F207" s="150">
        <f t="shared" si="199"/>
        <v>6.6429418742585997E-2</v>
      </c>
      <c r="G207" s="150">
        <f t="shared" si="199"/>
        <v>4.4036697247706424E-2</v>
      </c>
      <c r="H207" s="150">
        <f t="shared" si="199"/>
        <v>4.6936114732724903E-2</v>
      </c>
      <c r="I207" s="150">
        <f t="shared" si="199"/>
        <v>5.350553505535055E-2</v>
      </c>
      <c r="J207" s="150">
        <f t="shared" si="199"/>
        <v>4.0754716981132075E-2</v>
      </c>
      <c r="K207" s="150">
        <f t="shared" si="199"/>
        <v>4.0989399293286218E-2</v>
      </c>
      <c r="L207" s="150">
        <f t="shared" si="199"/>
        <v>4.737053392211963E-2</v>
      </c>
      <c r="M207" s="151">
        <f t="shared" si="199"/>
        <v>4.7819971870604779E-2</v>
      </c>
      <c r="N207" s="125"/>
      <c r="O207" s="125"/>
      <c r="P207" s="125"/>
      <c r="Q207" s="126"/>
      <c r="R207" s="159">
        <f>-R124/(AVERAGE(R88,M88))</f>
        <v>4.6600095102234902E-2</v>
      </c>
      <c r="S207" s="125"/>
      <c r="T207" s="150">
        <f>AI207/4</f>
        <v>1.2749999999999999E-2</v>
      </c>
      <c r="U207" s="150"/>
      <c r="V207" s="150"/>
      <c r="W207" s="150"/>
      <c r="X207" s="150"/>
      <c r="Y207" s="157">
        <f>T207</f>
        <v>1.2749999999999999E-2</v>
      </c>
      <c r="Z207" s="151">
        <f>Y207</f>
        <v>1.2749999999999999E-2</v>
      </c>
      <c r="AA207" s="169"/>
      <c r="AB207" s="150">
        <f>AI207</f>
        <v>5.0999999999999997E-2</v>
      </c>
      <c r="AC207" s="150">
        <f t="shared" si="198"/>
        <v>5.0999999999999997E-2</v>
      </c>
      <c r="AD207" s="150">
        <f t="shared" si="198"/>
        <v>5.0999999999999997E-2</v>
      </c>
      <c r="AE207" s="150">
        <f t="shared" si="198"/>
        <v>5.0999999999999997E-2</v>
      </c>
      <c r="AF207" s="150">
        <f t="shared" si="198"/>
        <v>5.0999999999999997E-2</v>
      </c>
      <c r="AG207" s="150">
        <f t="shared" si="198"/>
        <v>5.0999999999999997E-2</v>
      </c>
      <c r="AH207" s="150">
        <f t="shared" si="198"/>
        <v>5.0999999999999997E-2</v>
      </c>
      <c r="AI207" s="155">
        <v>5.0999999999999997E-2</v>
      </c>
      <c r="AJ207" s="156">
        <f>AVERAGE(D207:R207)</f>
        <v>5.1456017942710493E-2</v>
      </c>
    </row>
    <row r="208" spans="2:36">
      <c r="M208" s="59"/>
      <c r="Q208" s="59"/>
      <c r="R208" s="89"/>
      <c r="Y208" s="22"/>
      <c r="Z208" s="59"/>
      <c r="AI208" s="148"/>
      <c r="AJ208" s="149"/>
    </row>
    <row r="209" spans="2:38">
      <c r="B209" s="90" t="s">
        <v>56</v>
      </c>
      <c r="M209" s="59"/>
      <c r="Q209" s="59"/>
      <c r="R209" s="89"/>
      <c r="Y209" s="22"/>
      <c r="Z209" s="59"/>
      <c r="AI209" s="148"/>
      <c r="AJ209" s="149"/>
    </row>
    <row r="210" spans="2:38">
      <c r="B210" s="87" t="s">
        <v>92</v>
      </c>
      <c r="C210" s="125"/>
      <c r="D210" s="150">
        <f t="shared" ref="D210:M210" si="200">D138/D40</f>
        <v>0.36148148148148146</v>
      </c>
      <c r="E210" s="150">
        <f t="shared" si="200"/>
        <v>0.36123348017621143</v>
      </c>
      <c r="F210" s="150">
        <f t="shared" si="200"/>
        <v>0.36119873817034698</v>
      </c>
      <c r="G210" s="150">
        <f t="shared" si="200"/>
        <v>0.36092715231788081</v>
      </c>
      <c r="H210" s="150">
        <f t="shared" si="200"/>
        <v>0.3355155482815057</v>
      </c>
      <c r="I210" s="150">
        <f t="shared" si="200"/>
        <v>0.32945736434108525</v>
      </c>
      <c r="J210" s="150">
        <f t="shared" si="200"/>
        <v>0.31066460587326122</v>
      </c>
      <c r="K210" s="150">
        <f t="shared" si="200"/>
        <v>0.28192161820480405</v>
      </c>
      <c r="L210" s="150">
        <f t="shared" si="200"/>
        <v>0.26558891454965355</v>
      </c>
      <c r="M210" s="151">
        <f t="shared" si="200"/>
        <v>0.26535087719298245</v>
      </c>
      <c r="N210" s="125"/>
      <c r="O210" s="125"/>
      <c r="P210" s="125"/>
      <c r="Q210" s="126"/>
      <c r="R210" s="151">
        <f>R138/R40</f>
        <v>0.26555023923444976</v>
      </c>
      <c r="S210" s="125"/>
      <c r="T210" s="150">
        <f>AB210</f>
        <v>0.26500000000000001</v>
      </c>
      <c r="U210" s="150"/>
      <c r="V210" s="150"/>
      <c r="W210" s="150"/>
      <c r="X210" s="150"/>
      <c r="Y210" s="157">
        <f>T210</f>
        <v>0.26500000000000001</v>
      </c>
      <c r="Z210" s="151">
        <f>Y210</f>
        <v>0.26500000000000001</v>
      </c>
      <c r="AA210" s="150">
        <f>Z210</f>
        <v>0.26500000000000001</v>
      </c>
      <c r="AB210" s="150">
        <f>AI210</f>
        <v>0.26500000000000001</v>
      </c>
      <c r="AC210" s="150">
        <f t="shared" ref="AC210:AH210" si="201">AB210</f>
        <v>0.26500000000000001</v>
      </c>
      <c r="AD210" s="150">
        <f t="shared" si="201"/>
        <v>0.26500000000000001</v>
      </c>
      <c r="AE210" s="150">
        <f t="shared" si="201"/>
        <v>0.26500000000000001</v>
      </c>
      <c r="AF210" s="150">
        <f t="shared" si="201"/>
        <v>0.26500000000000001</v>
      </c>
      <c r="AG210" s="150">
        <f t="shared" si="201"/>
        <v>0.26500000000000001</v>
      </c>
      <c r="AH210" s="150">
        <f t="shared" si="201"/>
        <v>0.26500000000000001</v>
      </c>
      <c r="AI210" s="170">
        <v>0.26500000000000001</v>
      </c>
      <c r="AJ210" s="156">
        <f>AVERAGE(D210:R210)</f>
        <v>0.31808091089306023</v>
      </c>
    </row>
    <row r="211" spans="2:38">
      <c r="B211" s="87" t="s">
        <v>93</v>
      </c>
      <c r="C211" s="125"/>
      <c r="D211" s="150">
        <f t="shared" ref="D211:M211" si="202">D148/D40</f>
        <v>0.26222222222222225</v>
      </c>
      <c r="E211" s="150">
        <f t="shared" si="202"/>
        <v>0.29074889867841408</v>
      </c>
      <c r="F211" s="150">
        <f t="shared" si="202"/>
        <v>0.28233438485804419</v>
      </c>
      <c r="G211" s="150">
        <f t="shared" si="202"/>
        <v>0.34768211920529801</v>
      </c>
      <c r="H211" s="150">
        <f t="shared" si="202"/>
        <v>0.18494271685761046</v>
      </c>
      <c r="I211" s="150">
        <f t="shared" si="202"/>
        <v>8.9147286821705432E-2</v>
      </c>
      <c r="J211" s="150">
        <f t="shared" si="202"/>
        <v>8.6553323029366303E-2</v>
      </c>
      <c r="K211" s="150">
        <f t="shared" si="202"/>
        <v>0.18963337547408343</v>
      </c>
      <c r="L211" s="150">
        <f t="shared" si="202"/>
        <v>0.13972286374133949</v>
      </c>
      <c r="M211" s="151">
        <f t="shared" si="202"/>
        <v>0.11951754385964912</v>
      </c>
      <c r="N211" s="125"/>
      <c r="O211" s="125"/>
      <c r="P211" s="125"/>
      <c r="Q211" s="126"/>
      <c r="R211" s="151">
        <f>R148/R40</f>
        <v>0.10645933014354067</v>
      </c>
      <c r="S211" s="125"/>
      <c r="T211" s="150">
        <f>T148/T40</f>
        <v>0</v>
      </c>
      <c r="U211" s="150"/>
      <c r="V211" s="150"/>
      <c r="W211" s="150"/>
      <c r="X211" s="150"/>
      <c r="Y211" s="157">
        <f>Y148/Y40</f>
        <v>0.13497613520314872</v>
      </c>
      <c r="Z211" s="151">
        <f>Z148/Z40</f>
        <v>0.13075673012508593</v>
      </c>
      <c r="AA211" s="150">
        <f>-AA42/AA40</f>
        <v>0.44956016131004894</v>
      </c>
      <c r="AB211" s="150">
        <f t="shared" ref="AB211:AH211" si="203">AB148/AB40</f>
        <v>0.10620812277849113</v>
      </c>
      <c r="AC211" s="150">
        <f t="shared" si="203"/>
        <v>0.10819249742902322</v>
      </c>
      <c r="AD211" s="150">
        <f t="shared" si="203"/>
        <v>0.11169479035665728</v>
      </c>
      <c r="AE211" s="150">
        <f t="shared" si="203"/>
        <v>0.11636736590148487</v>
      </c>
      <c r="AF211" s="150">
        <f t="shared" si="203"/>
        <v>0.12196933853686022</v>
      </c>
      <c r="AG211" s="150">
        <f t="shared" si="203"/>
        <v>0.12825512466587888</v>
      </c>
      <c r="AH211" s="150">
        <f t="shared" si="203"/>
        <v>0.13493089071283171</v>
      </c>
      <c r="AI211" s="171"/>
      <c r="AJ211" s="156">
        <f>AVERAGE(D211:R211)</f>
        <v>0.19081491499011574</v>
      </c>
    </row>
    <row r="212" spans="2:38">
      <c r="M212" s="59"/>
      <c r="Q212" s="59"/>
      <c r="R212" s="59"/>
      <c r="Y212" s="22"/>
      <c r="Z212" s="59"/>
      <c r="AI212" s="148"/>
      <c r="AJ212" s="149"/>
    </row>
    <row r="213" spans="2:38">
      <c r="B213" s="90" t="s">
        <v>94</v>
      </c>
      <c r="C213" s="125"/>
      <c r="D213" s="150">
        <f t="shared" ref="D213:M213" si="204">-D50/(D44+D49)</f>
        <v>0.51458333333333328</v>
      </c>
      <c r="E213" s="150">
        <f t="shared" si="204"/>
        <v>0.58709677419354833</v>
      </c>
      <c r="F213" s="150">
        <f t="shared" si="204"/>
        <v>0.7597254004576659</v>
      </c>
      <c r="G213" s="150">
        <f t="shared" si="204"/>
        <v>0.80577427821522307</v>
      </c>
      <c r="H213" s="150">
        <f t="shared" si="204"/>
        <v>0.50208333333333333</v>
      </c>
      <c r="I213" s="150">
        <f t="shared" si="204"/>
        <v>0.37610619469026546</v>
      </c>
      <c r="J213" s="150">
        <f t="shared" si="204"/>
        <v>1.7452006980802792E-2</v>
      </c>
      <c r="K213" s="150">
        <f t="shared" si="204"/>
        <v>0.24077046548956663</v>
      </c>
      <c r="L213" s="150">
        <f t="shared" si="204"/>
        <v>0.48418156808803303</v>
      </c>
      <c r="M213" s="151">
        <f t="shared" si="204"/>
        <v>0.25477707006369427</v>
      </c>
      <c r="N213" s="125"/>
      <c r="O213" s="125"/>
      <c r="P213" s="125"/>
      <c r="Q213" s="126"/>
      <c r="R213" s="151">
        <f>-R50/(R44+R49)</f>
        <v>0.36899862825788754</v>
      </c>
      <c r="S213" s="125"/>
      <c r="T213" s="150">
        <f>AB213</f>
        <v>0.75</v>
      </c>
      <c r="U213" s="150"/>
      <c r="V213" s="150"/>
      <c r="W213" s="150"/>
      <c r="X213" s="150"/>
      <c r="Y213" s="157">
        <f>T213</f>
        <v>0.75</v>
      </c>
      <c r="Z213" s="151">
        <f>Y213</f>
        <v>0.75</v>
      </c>
      <c r="AA213" s="150">
        <f>-AA50/(AA44+AA49)</f>
        <v>0.73901105776092069</v>
      </c>
      <c r="AB213" s="150">
        <f>AI213</f>
        <v>0.75</v>
      </c>
      <c r="AC213" s="150">
        <f t="shared" ref="AC213:AH213" si="205">AB213</f>
        <v>0.75</v>
      </c>
      <c r="AD213" s="150">
        <f t="shared" si="205"/>
        <v>0.75</v>
      </c>
      <c r="AE213" s="150">
        <f t="shared" si="205"/>
        <v>0.75</v>
      </c>
      <c r="AF213" s="150">
        <f t="shared" si="205"/>
        <v>0.75</v>
      </c>
      <c r="AG213" s="150">
        <f t="shared" si="205"/>
        <v>0.75</v>
      </c>
      <c r="AH213" s="150">
        <f t="shared" si="205"/>
        <v>0.75</v>
      </c>
      <c r="AI213" s="155">
        <v>0.75</v>
      </c>
      <c r="AJ213" s="156">
        <f>AVERAGE(D213:R213)</f>
        <v>0.44650445937303213</v>
      </c>
      <c r="AL213" s="110"/>
    </row>
    <row r="214" spans="2:38">
      <c r="M214" s="59"/>
      <c r="Q214" s="59"/>
      <c r="R214" s="59"/>
      <c r="Y214" s="22"/>
      <c r="Z214" s="59"/>
      <c r="AI214" s="148"/>
      <c r="AJ214" s="149"/>
    </row>
    <row r="215" spans="2:38">
      <c r="B215" s="90" t="s">
        <v>95</v>
      </c>
      <c r="M215" s="59"/>
      <c r="Q215" s="59"/>
      <c r="R215" s="59"/>
      <c r="Y215" s="22"/>
      <c r="Z215" s="59"/>
      <c r="AI215" s="148"/>
      <c r="AJ215" s="149"/>
    </row>
    <row r="216" spans="2:38">
      <c r="B216" s="87" t="s">
        <v>2</v>
      </c>
      <c r="C216" s="125"/>
      <c r="D216" s="42">
        <f t="shared" ref="D216:M216" si="206">D176/D179</f>
        <v>0.39614855570839064</v>
      </c>
      <c r="E216" s="42">
        <f t="shared" si="206"/>
        <v>0.48914616497829233</v>
      </c>
      <c r="F216" s="42">
        <f t="shared" si="206"/>
        <v>0.50668286755771563</v>
      </c>
      <c r="G216" s="42">
        <f t="shared" si="206"/>
        <v>0.46837763519706693</v>
      </c>
      <c r="H216" s="42">
        <f t="shared" si="206"/>
        <v>0.44392523364485981</v>
      </c>
      <c r="I216" s="42">
        <f t="shared" si="206"/>
        <v>0.41060025542784162</v>
      </c>
      <c r="J216" s="42">
        <f t="shared" si="206"/>
        <v>0.40063694267515926</v>
      </c>
      <c r="K216" s="42">
        <f t="shared" si="206"/>
        <v>0.43400138217000689</v>
      </c>
      <c r="L216" s="42">
        <f>L176/L179</f>
        <v>0.53370013755158185</v>
      </c>
      <c r="M216" s="172">
        <f t="shared" si="206"/>
        <v>0.51219512195121952</v>
      </c>
      <c r="N216" s="125"/>
      <c r="O216" s="125"/>
      <c r="P216" s="125"/>
      <c r="Q216" s="126"/>
      <c r="R216" s="172">
        <f>R176/R179</f>
        <v>0.44444444444444442</v>
      </c>
      <c r="S216" s="125"/>
      <c r="T216" s="125"/>
      <c r="U216" s="125"/>
      <c r="V216" s="125"/>
      <c r="W216" s="125"/>
      <c r="X216" s="125"/>
      <c r="Y216" s="127"/>
      <c r="Z216" s="126"/>
      <c r="AA216" s="42">
        <f t="shared" ref="AA216:AH216" si="207">AA176/AA179</f>
        <v>0.57480818414322254</v>
      </c>
      <c r="AB216" s="42">
        <f t="shared" si="207"/>
        <v>0.56416938110749182</v>
      </c>
      <c r="AC216" s="42">
        <f t="shared" si="207"/>
        <v>0.55716162943495395</v>
      </c>
      <c r="AD216" s="42">
        <f t="shared" si="207"/>
        <v>0.5530652603823335</v>
      </c>
      <c r="AE216" s="42">
        <f t="shared" si="207"/>
        <v>0.54953764861294585</v>
      </c>
      <c r="AF216" s="42">
        <f t="shared" si="207"/>
        <v>0.54953764861294585</v>
      </c>
      <c r="AG216" s="42">
        <f t="shared" si="207"/>
        <v>0.54953764861294585</v>
      </c>
      <c r="AH216" s="42">
        <f t="shared" si="207"/>
        <v>0.54953764861294585</v>
      </c>
      <c r="AI216" s="155">
        <v>0.49</v>
      </c>
      <c r="AJ216" s="156">
        <f>AVERAGE(D216:R216)</f>
        <v>0.45816897648241633</v>
      </c>
    </row>
    <row r="217" spans="2:38">
      <c r="B217" s="87" t="s">
        <v>1</v>
      </c>
      <c r="C217" s="125"/>
      <c r="D217" s="42">
        <f t="shared" ref="D217:M217" si="208">D177/D179</f>
        <v>0.59422283356258598</v>
      </c>
      <c r="E217" s="42">
        <f t="shared" si="208"/>
        <v>0.50506512301013029</v>
      </c>
      <c r="F217" s="42">
        <f t="shared" si="208"/>
        <v>0.48845686512758202</v>
      </c>
      <c r="G217" s="42">
        <f t="shared" si="208"/>
        <v>0.51329055912007338</v>
      </c>
      <c r="H217" s="42">
        <f t="shared" si="208"/>
        <v>0.54828660436137067</v>
      </c>
      <c r="I217" s="42">
        <f t="shared" si="208"/>
        <v>0.58620689655172409</v>
      </c>
      <c r="J217" s="42">
        <f t="shared" si="208"/>
        <v>0.59617834394904456</v>
      </c>
      <c r="K217" s="42">
        <f t="shared" si="208"/>
        <v>0.55977885279889428</v>
      </c>
      <c r="L217" s="42">
        <f>L177/L179</f>
        <v>0.46148555708390648</v>
      </c>
      <c r="M217" s="172">
        <f t="shared" si="208"/>
        <v>0.48278335724533716</v>
      </c>
      <c r="N217" s="125"/>
      <c r="O217" s="125"/>
      <c r="P217" s="125"/>
      <c r="Q217" s="126"/>
      <c r="R217" s="172">
        <f>R177/R179</f>
        <v>0.55228758169934644</v>
      </c>
      <c r="S217" s="125"/>
      <c r="T217" s="125"/>
      <c r="U217" s="125"/>
      <c r="V217" s="125"/>
      <c r="W217" s="125"/>
      <c r="X217" s="125"/>
      <c r="Y217" s="127"/>
      <c r="Z217" s="126"/>
      <c r="AA217" s="42">
        <f t="shared" ref="AA217:AH217" si="209">AA177/AA179</f>
        <v>0.42519181585677751</v>
      </c>
      <c r="AB217" s="42">
        <f t="shared" si="209"/>
        <v>0.43583061889250813</v>
      </c>
      <c r="AC217" s="42">
        <f t="shared" si="209"/>
        <v>0.44283837056504599</v>
      </c>
      <c r="AD217" s="42">
        <f t="shared" si="209"/>
        <v>0.44693473961766644</v>
      </c>
      <c r="AE217" s="42">
        <f t="shared" si="209"/>
        <v>0.45046235138705415</v>
      </c>
      <c r="AF217" s="42">
        <f t="shared" si="209"/>
        <v>0.45046235138705415</v>
      </c>
      <c r="AG217" s="42">
        <f t="shared" si="209"/>
        <v>0.45046235138705415</v>
      </c>
      <c r="AH217" s="42">
        <f t="shared" si="209"/>
        <v>0.45046235138705415</v>
      </c>
      <c r="AI217" s="155">
        <v>0.49</v>
      </c>
      <c r="AJ217" s="156">
        <f>AVERAGE(D217:R217)</f>
        <v>0.53527659768272684</v>
      </c>
    </row>
    <row r="218" spans="2:38">
      <c r="B218" s="87" t="s">
        <v>3</v>
      </c>
      <c r="C218" s="125"/>
      <c r="D218" s="42">
        <f>1-D216-D217</f>
        <v>9.6286107290234346E-3</v>
      </c>
      <c r="E218" s="42">
        <f t="shared" ref="E218:K218" si="210">1-E216-E217</f>
        <v>5.7887120115773794E-3</v>
      </c>
      <c r="F218" s="42">
        <f t="shared" si="210"/>
        <v>4.860267314702349E-3</v>
      </c>
      <c r="G218" s="42">
        <f t="shared" si="210"/>
        <v>1.8331805682859637E-2</v>
      </c>
      <c r="H218" s="42">
        <f t="shared" si="210"/>
        <v>7.7881619937695268E-3</v>
      </c>
      <c r="I218" s="42">
        <f t="shared" si="210"/>
        <v>3.1928480204342913E-3</v>
      </c>
      <c r="J218" s="42">
        <f t="shared" si="210"/>
        <v>3.1847133757961776E-3</v>
      </c>
      <c r="K218" s="42">
        <f t="shared" si="210"/>
        <v>6.2197650310988895E-3</v>
      </c>
      <c r="L218" s="42">
        <f>1-L216-L217</f>
        <v>4.8143053645116618E-3</v>
      </c>
      <c r="M218" s="172">
        <f>1-M216-M217</f>
        <v>5.0215208034433134E-3</v>
      </c>
      <c r="N218" s="125"/>
      <c r="O218" s="125"/>
      <c r="P218" s="125"/>
      <c r="Q218" s="126"/>
      <c r="R218" s="172">
        <f>1-R216-R217</f>
        <v>3.2679738562091387E-3</v>
      </c>
      <c r="S218" s="125"/>
      <c r="T218" s="125"/>
      <c r="U218" s="125"/>
      <c r="V218" s="125"/>
      <c r="W218" s="125"/>
      <c r="X218" s="125"/>
      <c r="Y218" s="127"/>
      <c r="Z218" s="126"/>
      <c r="AA218" s="42">
        <f t="shared" ref="AA218:AH218" si="211">1-AA216-AA217</f>
        <v>0</v>
      </c>
      <c r="AB218" s="42">
        <f t="shared" si="211"/>
        <v>0</v>
      </c>
      <c r="AC218" s="42">
        <f t="shared" si="211"/>
        <v>0</v>
      </c>
      <c r="AD218" s="42">
        <f t="shared" si="211"/>
        <v>0</v>
      </c>
      <c r="AE218" s="42">
        <f t="shared" si="211"/>
        <v>0</v>
      </c>
      <c r="AF218" s="42">
        <f t="shared" si="211"/>
        <v>0</v>
      </c>
      <c r="AG218" s="42">
        <f t="shared" si="211"/>
        <v>0</v>
      </c>
      <c r="AH218" s="42">
        <f t="shared" si="211"/>
        <v>0</v>
      </c>
      <c r="AI218" s="158">
        <f t="shared" ref="AI218:AJ218" si="212">1-AI216-AI217</f>
        <v>2.0000000000000018E-2</v>
      </c>
      <c r="AJ218" s="156">
        <f t="shared" si="212"/>
        <v>6.5544258348567697E-3</v>
      </c>
    </row>
    <row r="219" spans="2:38">
      <c r="B219" s="87" t="s">
        <v>96</v>
      </c>
      <c r="C219" s="125"/>
      <c r="D219" s="42">
        <f t="shared" ref="D219:M219" si="213">D179/C179-1</f>
        <v>0.21775544388609713</v>
      </c>
      <c r="E219" s="42">
        <f t="shared" si="213"/>
        <v>-4.9518569463548823E-2</v>
      </c>
      <c r="F219" s="42">
        <f t="shared" si="213"/>
        <v>0.19102749638205507</v>
      </c>
      <c r="G219" s="42">
        <f t="shared" si="213"/>
        <v>0.3256379100850546</v>
      </c>
      <c r="H219" s="42">
        <f t="shared" si="213"/>
        <v>0.17690192483959666</v>
      </c>
      <c r="I219" s="42">
        <f t="shared" si="213"/>
        <v>0.21962616822429903</v>
      </c>
      <c r="J219" s="42">
        <f t="shared" si="213"/>
        <v>2.5542784163474774E-3</v>
      </c>
      <c r="K219" s="42">
        <f t="shared" si="213"/>
        <v>-7.834394904458597E-2</v>
      </c>
      <c r="L219" s="42">
        <f>L179/K179-1</f>
        <v>4.8375950241879018E-3</v>
      </c>
      <c r="M219" s="172">
        <f t="shared" si="213"/>
        <v>-4.1265474552957371E-2</v>
      </c>
      <c r="N219" s="125"/>
      <c r="O219" s="125"/>
      <c r="P219" s="125"/>
      <c r="Q219" s="126"/>
      <c r="R219" s="172">
        <f>R179/M179-1</f>
        <v>9.7560975609756184E-2</v>
      </c>
      <c r="S219" s="125"/>
      <c r="T219" s="125"/>
      <c r="U219" s="125"/>
      <c r="V219" s="125"/>
      <c r="W219" s="125"/>
      <c r="X219" s="125"/>
      <c r="Y219" s="127"/>
      <c r="Z219" s="126"/>
      <c r="AA219" s="42">
        <f>AA179/R179-1</f>
        <v>2.2222222222222143E-2</v>
      </c>
      <c r="AB219" s="42">
        <f t="shared" ref="AB219:AH219" si="214">AB179/AA179-1</f>
        <v>-1.8542199488491007E-2</v>
      </c>
      <c r="AC219" s="42">
        <f t="shared" si="214"/>
        <v>-8.4690553745928598E-3</v>
      </c>
      <c r="AD219" s="42">
        <f t="shared" si="214"/>
        <v>-3.2851511169513792E-3</v>
      </c>
      <c r="AE219" s="42">
        <f t="shared" si="214"/>
        <v>-1.9775873434410007E-3</v>
      </c>
      <c r="AF219" s="42">
        <f t="shared" si="214"/>
        <v>0</v>
      </c>
      <c r="AG219" s="42">
        <f t="shared" si="214"/>
        <v>0</v>
      </c>
      <c r="AH219" s="42">
        <f t="shared" si="214"/>
        <v>0</v>
      </c>
      <c r="AI219" s="171"/>
      <c r="AJ219" s="156">
        <f>AVERAGE(D219:R219)</f>
        <v>9.6979436309663783E-2</v>
      </c>
    </row>
    <row r="220" spans="2:38">
      <c r="M220" s="59"/>
      <c r="Q220" s="59"/>
      <c r="R220" s="59"/>
      <c r="Y220" s="22"/>
      <c r="Z220" s="59"/>
      <c r="AI220" s="148"/>
      <c r="AJ220" s="149"/>
    </row>
    <row r="221" spans="2:38">
      <c r="B221" s="90" t="s">
        <v>97</v>
      </c>
      <c r="M221" s="59"/>
      <c r="Q221" s="59"/>
      <c r="R221" s="59"/>
      <c r="Y221" s="22"/>
      <c r="Z221" s="59"/>
      <c r="AI221" s="148"/>
      <c r="AJ221" s="149"/>
    </row>
    <row r="222" spans="2:38">
      <c r="B222" s="87" t="s">
        <v>30</v>
      </c>
      <c r="C222" s="125"/>
      <c r="D222" s="42">
        <f t="shared" ref="D222:M222" si="215">D81/D11</f>
        <v>0.17023838189260776</v>
      </c>
      <c r="E222" s="42">
        <f t="shared" si="215"/>
        <v>0.14221014492753623</v>
      </c>
      <c r="F222" s="42">
        <f t="shared" si="215"/>
        <v>0.17095709570957096</v>
      </c>
      <c r="G222" s="42">
        <f t="shared" si="215"/>
        <v>0.16305048335123523</v>
      </c>
      <c r="H222" s="42">
        <f t="shared" si="215"/>
        <v>0.16402001305199043</v>
      </c>
      <c r="I222" s="42">
        <f t="shared" si="215"/>
        <v>0.1776981450252951</v>
      </c>
      <c r="J222" s="42">
        <f t="shared" si="215"/>
        <v>0.17779078844652615</v>
      </c>
      <c r="K222" s="42">
        <f t="shared" si="215"/>
        <v>0.17565344543959058</v>
      </c>
      <c r="L222" s="42">
        <f t="shared" si="215"/>
        <v>0.17440642458100558</v>
      </c>
      <c r="M222" s="172">
        <f t="shared" si="215"/>
        <v>0.18439249259137305</v>
      </c>
      <c r="N222" s="125"/>
      <c r="O222" s="125"/>
      <c r="P222" s="125"/>
      <c r="Q222" s="126"/>
      <c r="R222" s="172">
        <f>R81/R11</f>
        <v>0.18937080024434941</v>
      </c>
      <c r="S222" s="125"/>
      <c r="T222" s="42">
        <f>AI222*4</f>
        <v>0.76</v>
      </c>
      <c r="U222" s="42"/>
      <c r="V222" s="42"/>
      <c r="W222" s="42"/>
      <c r="X222" s="42"/>
      <c r="Y222" s="108">
        <f>T222</f>
        <v>0.76</v>
      </c>
      <c r="Z222" s="172">
        <f>Y222</f>
        <v>0.76</v>
      </c>
      <c r="AA222" s="42">
        <f>AI222</f>
        <v>0.19</v>
      </c>
      <c r="AB222" s="42">
        <f t="shared" ref="AB222:AH223" si="216">AA222</f>
        <v>0.19</v>
      </c>
      <c r="AC222" s="42">
        <f t="shared" si="216"/>
        <v>0.19</v>
      </c>
      <c r="AD222" s="42">
        <f t="shared" si="216"/>
        <v>0.19</v>
      </c>
      <c r="AE222" s="42">
        <f t="shared" si="216"/>
        <v>0.19</v>
      </c>
      <c r="AF222" s="42">
        <f t="shared" si="216"/>
        <v>0.19</v>
      </c>
      <c r="AG222" s="42">
        <f t="shared" si="216"/>
        <v>0.19</v>
      </c>
      <c r="AH222" s="42">
        <f t="shared" si="216"/>
        <v>0.19</v>
      </c>
      <c r="AI222" s="155">
        <v>0.19</v>
      </c>
      <c r="AJ222" s="156">
        <f>AVERAGE(D222:R222)</f>
        <v>0.17179892866009824</v>
      </c>
    </row>
    <row r="223" spans="2:38">
      <c r="B223" s="87" t="s">
        <v>81</v>
      </c>
      <c r="C223" s="125"/>
      <c r="D223" s="42">
        <f t="shared" ref="D223:M223" si="217">D100/D11</f>
        <v>0.15169756802311582</v>
      </c>
      <c r="E223" s="42">
        <f t="shared" si="217"/>
        <v>0.1585144927536232</v>
      </c>
      <c r="F223" s="42">
        <f t="shared" si="217"/>
        <v>0.14543454345434542</v>
      </c>
      <c r="G223" s="42">
        <f t="shared" si="217"/>
        <v>0.15703544575725026</v>
      </c>
      <c r="H223" s="42">
        <f t="shared" si="217"/>
        <v>0.17250380683054164</v>
      </c>
      <c r="I223" s="42">
        <f t="shared" si="217"/>
        <v>0.16863406408094436</v>
      </c>
      <c r="J223" s="42">
        <f t="shared" si="217"/>
        <v>0.17252146760343481</v>
      </c>
      <c r="K223" s="42">
        <f t="shared" si="217"/>
        <v>0.19575945896545421</v>
      </c>
      <c r="L223" s="42">
        <f t="shared" si="217"/>
        <v>0.17091480446927373</v>
      </c>
      <c r="M223" s="172">
        <f t="shared" si="217"/>
        <v>0.16875205795192624</v>
      </c>
      <c r="N223" s="125"/>
      <c r="O223" s="125"/>
      <c r="P223" s="125"/>
      <c r="Q223" s="126"/>
      <c r="R223" s="172">
        <f>R100/R11</f>
        <v>0.15485644471594379</v>
      </c>
      <c r="S223" s="125"/>
      <c r="T223" s="42">
        <f>AI223*4</f>
        <v>0.64</v>
      </c>
      <c r="U223" s="42"/>
      <c r="V223" s="42"/>
      <c r="W223" s="42"/>
      <c r="X223" s="42"/>
      <c r="Y223" s="108">
        <f>T223</f>
        <v>0.64</v>
      </c>
      <c r="Z223" s="172">
        <f>Y223</f>
        <v>0.64</v>
      </c>
      <c r="AA223" s="42">
        <f>AI223</f>
        <v>0.16</v>
      </c>
      <c r="AB223" s="42">
        <f t="shared" si="216"/>
        <v>0.16</v>
      </c>
      <c r="AC223" s="42">
        <f t="shared" si="216"/>
        <v>0.16</v>
      </c>
      <c r="AD223" s="42">
        <f t="shared" si="216"/>
        <v>0.16</v>
      </c>
      <c r="AE223" s="42">
        <f t="shared" si="216"/>
        <v>0.16</v>
      </c>
      <c r="AF223" s="42">
        <f t="shared" si="216"/>
        <v>0.16</v>
      </c>
      <c r="AG223" s="42">
        <f t="shared" si="216"/>
        <v>0.16</v>
      </c>
      <c r="AH223" s="42">
        <f t="shared" si="216"/>
        <v>0.16</v>
      </c>
      <c r="AI223" s="173">
        <v>0.16</v>
      </c>
      <c r="AJ223" s="174">
        <f>AVERAGE(D223:R223)</f>
        <v>0.16514765041871393</v>
      </c>
    </row>
    <row r="224" spans="2:38"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59"/>
      <c r="Q224" s="59"/>
      <c r="R224" s="59"/>
      <c r="Y224" s="108"/>
      <c r="Z224" s="172"/>
      <c r="AA224" s="42"/>
      <c r="AB224" s="42"/>
      <c r="AC224" s="42"/>
      <c r="AD224" s="42"/>
      <c r="AE224" s="42"/>
      <c r="AF224" s="42"/>
      <c r="AG224" s="42"/>
      <c r="AH224" s="42"/>
      <c r="AI224" s="175"/>
      <c r="AJ224" s="150"/>
    </row>
    <row r="225" spans="2:36">
      <c r="B225" s="90" t="s">
        <v>115</v>
      </c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59"/>
      <c r="Q225" s="59"/>
      <c r="R225" s="59"/>
      <c r="Y225" s="108"/>
      <c r="Z225" s="172"/>
      <c r="AA225" s="42"/>
      <c r="AB225" s="42"/>
      <c r="AC225" s="42"/>
      <c r="AD225" s="42"/>
      <c r="AE225" s="42"/>
      <c r="AF225" s="42"/>
      <c r="AG225" s="42"/>
      <c r="AH225" s="42"/>
      <c r="AI225" s="175"/>
      <c r="AJ225" s="150"/>
    </row>
    <row r="226" spans="2:36">
      <c r="B226" s="87" t="s">
        <v>116</v>
      </c>
      <c r="C226" s="125"/>
      <c r="D226" s="42">
        <f t="shared" ref="D226:M226" si="218">-D179/D11</f>
        <v>0.17505417770286541</v>
      </c>
      <c r="E226" s="42">
        <f t="shared" si="218"/>
        <v>0.15647644927536231</v>
      </c>
      <c r="F226" s="42">
        <f t="shared" si="218"/>
        <v>0.18107810781078107</v>
      </c>
      <c r="G226" s="42">
        <f t="shared" si="218"/>
        <v>0.23437164339419977</v>
      </c>
      <c r="H226" s="42">
        <f t="shared" si="218"/>
        <v>0.27931259517076357</v>
      </c>
      <c r="I226" s="42">
        <f t="shared" si="218"/>
        <v>0.33010118043844855</v>
      </c>
      <c r="J226" s="42">
        <f t="shared" si="218"/>
        <v>0.30640124902419985</v>
      </c>
      <c r="K226" s="42">
        <f t="shared" si="218"/>
        <v>0.26448546883567903</v>
      </c>
      <c r="L226" s="42">
        <f t="shared" si="218"/>
        <v>0.25384078212290501</v>
      </c>
      <c r="M226" s="172">
        <f t="shared" si="218"/>
        <v>0.22950279881461969</v>
      </c>
      <c r="N226" s="125"/>
      <c r="O226" s="125"/>
      <c r="P226" s="125"/>
      <c r="Q226" s="126"/>
      <c r="R226" s="172">
        <f>-R179/R11</f>
        <v>0.23365913255956017</v>
      </c>
      <c r="S226" s="125"/>
      <c r="T226" s="42">
        <f t="shared" ref="T226:AH226" si="219">-T179/T11</f>
        <v>0.27447216890595011</v>
      </c>
      <c r="U226" s="42"/>
      <c r="V226" s="42"/>
      <c r="W226" s="42"/>
      <c r="X226" s="42"/>
      <c r="Y226" s="108">
        <f t="shared" si="219"/>
        <v>0.26479500174295445</v>
      </c>
      <c r="Z226" s="172">
        <f t="shared" si="219"/>
        <v>0.2549877376719723</v>
      </c>
      <c r="AA226" s="42">
        <f t="shared" si="219"/>
        <v>0.24885382051316365</v>
      </c>
      <c r="AB226" s="42">
        <f t="shared" si="219"/>
        <v>0.23283126703152757</v>
      </c>
      <c r="AC226" s="42">
        <f t="shared" si="219"/>
        <v>0.2206481836692015</v>
      </c>
      <c r="AD226" s="42">
        <f t="shared" si="219"/>
        <v>0.21014989650331697</v>
      </c>
      <c r="AE226" s="42">
        <f t="shared" si="219"/>
        <v>0.20037074453732051</v>
      </c>
      <c r="AF226" s="42">
        <f t="shared" si="219"/>
        <v>0.19138501041050393</v>
      </c>
      <c r="AG226" s="42">
        <f t="shared" si="219"/>
        <v>0.18276461957581902</v>
      </c>
      <c r="AH226" s="42">
        <f t="shared" si="219"/>
        <v>0.17449731769647489</v>
      </c>
      <c r="AI226" s="175"/>
      <c r="AJ226" s="150"/>
    </row>
    <row r="227" spans="2:36">
      <c r="M227" s="59"/>
      <c r="Q227" s="59"/>
      <c r="R227" s="59"/>
      <c r="Y227" s="22"/>
      <c r="Z227" s="59"/>
    </row>
    <row r="228" spans="2:36">
      <c r="B228" s="90" t="s">
        <v>98</v>
      </c>
      <c r="M228" s="59"/>
      <c r="Q228" s="59"/>
      <c r="R228" s="59"/>
      <c r="Y228" s="22"/>
      <c r="Z228" s="59"/>
    </row>
    <row r="229" spans="2:36">
      <c r="B229" s="87" t="s">
        <v>99</v>
      </c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6"/>
      <c r="N229" s="125"/>
      <c r="O229" s="125"/>
      <c r="P229" s="125"/>
      <c r="Q229" s="126"/>
      <c r="R229" s="126"/>
      <c r="S229" s="125"/>
      <c r="T229" s="5">
        <f>IF(S205&lt;0,0,-(T61+T70+T64+T65))</f>
        <v>261</v>
      </c>
      <c r="Y229" s="22">
        <f>IF(X205&lt;0,0,-(Y61+Y70+Y64+Y65))</f>
        <v>302.20102499999996</v>
      </c>
      <c r="Z229" s="59">
        <f>IF(Y205&lt;0,0,-(Z61+Z70+Z64+Z65))</f>
        <v>163.2889139531249</v>
      </c>
      <c r="AA229" s="125"/>
      <c r="AB229" s="5">
        <f t="shared" ref="AB229:AH229" si="220">IF(AA205&lt;0,0,-(AB61+AB70+AB64+AB65))</f>
        <v>533.20919923941426</v>
      </c>
      <c r="AC229" s="5">
        <f t="shared" si="220"/>
        <v>478.97085717845675</v>
      </c>
      <c r="AD229" s="5">
        <f t="shared" si="220"/>
        <v>436.18895648081002</v>
      </c>
      <c r="AE229" s="5">
        <f t="shared" si="220"/>
        <v>395.47782476941734</v>
      </c>
      <c r="AF229" s="5">
        <f t="shared" si="220"/>
        <v>357.68948828981297</v>
      </c>
      <c r="AG229" s="5">
        <f t="shared" si="220"/>
        <v>331.49825497665506</v>
      </c>
      <c r="AH229" s="5">
        <f t="shared" si="220"/>
        <v>300.19191444103558</v>
      </c>
    </row>
    <row r="230" spans="2:36">
      <c r="B230" s="87" t="s">
        <v>100</v>
      </c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6"/>
      <c r="N230" s="125"/>
      <c r="O230" s="125"/>
      <c r="P230" s="125"/>
      <c r="Q230" s="126"/>
      <c r="R230" s="126"/>
      <c r="S230" s="176"/>
      <c r="T230" s="24">
        <f>IF((S205+T229)&lt;0,(-S205-T229),0)</f>
        <v>0</v>
      </c>
      <c r="U230" s="24"/>
      <c r="V230" s="24"/>
      <c r="W230" s="24"/>
      <c r="X230" s="24"/>
      <c r="Y230" s="24">
        <f>IF((X205+Y229)&lt;0,(-X205-Y229),0)</f>
        <v>0</v>
      </c>
      <c r="Z230" s="60">
        <f>IF((Y205+Z229)&lt;0,(-Y205-Z229),0)</f>
        <v>0</v>
      </c>
      <c r="AA230" s="130"/>
      <c r="AB230" s="24">
        <f t="shared" ref="AB230:AH230" si="221">IF((AA205+AB229)&lt;0,(-AA205-AB229),0)</f>
        <v>0</v>
      </c>
      <c r="AC230" s="24">
        <f t="shared" si="221"/>
        <v>0</v>
      </c>
      <c r="AD230" s="24">
        <f t="shared" si="221"/>
        <v>0</v>
      </c>
      <c r="AE230" s="24">
        <f t="shared" si="221"/>
        <v>0</v>
      </c>
      <c r="AF230" s="24">
        <f t="shared" si="221"/>
        <v>0</v>
      </c>
      <c r="AG230" s="24">
        <f t="shared" si="221"/>
        <v>0</v>
      </c>
      <c r="AH230" s="24">
        <f t="shared" si="221"/>
        <v>0</v>
      </c>
    </row>
    <row r="231" spans="2:36">
      <c r="B231" s="87" t="s">
        <v>101</v>
      </c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6"/>
      <c r="N231" s="125"/>
      <c r="O231" s="125"/>
      <c r="P231" s="125"/>
      <c r="Q231" s="126"/>
      <c r="R231" s="126"/>
      <c r="S231" s="125"/>
      <c r="T231" s="5">
        <f>T229+T230</f>
        <v>261</v>
      </c>
      <c r="Y231" s="22">
        <f>Y229+Y230</f>
        <v>302.20102499999996</v>
      </c>
      <c r="Z231" s="59">
        <f>Z229+Z230</f>
        <v>163.2889139531249</v>
      </c>
      <c r="AA231" s="125"/>
      <c r="AB231" s="5">
        <f t="shared" ref="AB231:AH231" si="222">AB229+AB230</f>
        <v>533.20919923941426</v>
      </c>
      <c r="AC231" s="5">
        <f t="shared" si="222"/>
        <v>478.97085717845675</v>
      </c>
      <c r="AD231" s="5">
        <f t="shared" si="222"/>
        <v>436.18895648081002</v>
      </c>
      <c r="AE231" s="5">
        <f t="shared" si="222"/>
        <v>395.47782476941734</v>
      </c>
      <c r="AF231" s="5">
        <f t="shared" si="222"/>
        <v>357.68948828981297</v>
      </c>
      <c r="AG231" s="5">
        <f t="shared" si="222"/>
        <v>331.49825497665506</v>
      </c>
      <c r="AH231" s="5">
        <f t="shared" si="222"/>
        <v>300.19191444103558</v>
      </c>
    </row>
    <row r="232" spans="2:36">
      <c r="M232" s="59"/>
      <c r="Q232" s="59"/>
      <c r="R232" s="59"/>
      <c r="Y232" s="22"/>
      <c r="Z232" s="59"/>
    </row>
    <row r="233" spans="2:36">
      <c r="B233" s="299" t="s">
        <v>55</v>
      </c>
      <c r="C233" s="290"/>
      <c r="D233" s="290"/>
      <c r="E233" s="290"/>
      <c r="F233" s="290"/>
      <c r="G233" s="290"/>
      <c r="H233" s="290"/>
      <c r="I233" s="290"/>
      <c r="J233" s="290"/>
      <c r="K233" s="290"/>
      <c r="L233" s="290"/>
      <c r="M233" s="291"/>
      <c r="N233" s="292"/>
      <c r="O233" s="292"/>
      <c r="P233" s="292"/>
      <c r="Q233" s="293"/>
      <c r="R233" s="294"/>
      <c r="S233" s="295"/>
      <c r="T233" s="292"/>
      <c r="U233" s="298"/>
      <c r="V233" s="298"/>
      <c r="W233" s="298"/>
      <c r="X233" s="296"/>
      <c r="Y233" s="296"/>
      <c r="Z233" s="297"/>
      <c r="AA233" s="296"/>
      <c r="AB233" s="296"/>
      <c r="AC233" s="296"/>
      <c r="AD233" s="296"/>
      <c r="AE233" s="296"/>
      <c r="AF233" s="296"/>
      <c r="AG233" s="296"/>
      <c r="AH233" s="296"/>
      <c r="AI233" s="88" t="s">
        <v>113</v>
      </c>
    </row>
    <row r="234" spans="2:36">
      <c r="M234" s="59"/>
      <c r="Q234" s="59"/>
      <c r="R234" s="59"/>
      <c r="Y234" s="22"/>
      <c r="Z234" s="59"/>
    </row>
    <row r="235" spans="2:36">
      <c r="B235" s="90" t="s">
        <v>112</v>
      </c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6"/>
      <c r="N235" s="125"/>
      <c r="O235" s="125"/>
      <c r="P235" s="125"/>
      <c r="Q235" s="126"/>
      <c r="R235" s="126"/>
      <c r="S235" s="125"/>
      <c r="T235" s="125"/>
      <c r="U235" s="125"/>
      <c r="V235" s="125"/>
      <c r="W235" s="125"/>
      <c r="X235" s="125"/>
      <c r="Y235" s="127"/>
      <c r="Z235" s="126"/>
      <c r="AA235" s="110">
        <f>9/12</f>
        <v>0.75</v>
      </c>
      <c r="AB235" s="110">
        <f>AA235+1</f>
        <v>1.75</v>
      </c>
      <c r="AC235" s="110">
        <f t="shared" ref="AC235:AI235" si="223">AB235+1</f>
        <v>2.75</v>
      </c>
      <c r="AD235" s="110">
        <f t="shared" si="223"/>
        <v>3.75</v>
      </c>
      <c r="AE235" s="110">
        <f t="shared" si="223"/>
        <v>4.75</v>
      </c>
      <c r="AF235" s="110">
        <f t="shared" si="223"/>
        <v>5.75</v>
      </c>
      <c r="AG235" s="110">
        <f t="shared" si="223"/>
        <v>6.75</v>
      </c>
      <c r="AH235" s="110">
        <f t="shared" si="223"/>
        <v>7.75</v>
      </c>
      <c r="AI235" s="110">
        <f t="shared" si="223"/>
        <v>8.75</v>
      </c>
    </row>
    <row r="236" spans="2:36">
      <c r="M236" s="59"/>
      <c r="Q236" s="59"/>
      <c r="R236" s="59"/>
      <c r="Y236" s="22"/>
      <c r="Z236" s="59"/>
    </row>
    <row r="237" spans="2:36">
      <c r="B237" s="90" t="s">
        <v>105</v>
      </c>
      <c r="M237" s="59"/>
      <c r="Q237" s="59"/>
      <c r="R237" s="59"/>
      <c r="Y237" s="22"/>
      <c r="Z237" s="59"/>
    </row>
    <row r="238" spans="2:36">
      <c r="B238" s="87" t="s">
        <v>109</v>
      </c>
      <c r="C238" s="125"/>
      <c r="D238" s="10">
        <f t="shared" ref="D238:M238" si="224">D205/(D205+D114)</f>
        <v>0.53480719794344478</v>
      </c>
      <c r="E238" s="10">
        <f t="shared" si="224"/>
        <v>0.51779141104294479</v>
      </c>
      <c r="F238" s="10">
        <f t="shared" si="224"/>
        <v>0.52628475975238287</v>
      </c>
      <c r="G238" s="10">
        <f t="shared" si="224"/>
        <v>0.5347109799066756</v>
      </c>
      <c r="H238" s="10">
        <f t="shared" si="224"/>
        <v>0.54481655858576883</v>
      </c>
      <c r="I238" s="10">
        <f t="shared" si="224"/>
        <v>0.56235864297253635</v>
      </c>
      <c r="J238" s="10">
        <f t="shared" si="224"/>
        <v>0.56530271095283091</v>
      </c>
      <c r="K238" s="10">
        <f t="shared" si="224"/>
        <v>0.55563205728449461</v>
      </c>
      <c r="L238" s="10">
        <f t="shared" si="224"/>
        <v>0.55574346298946276</v>
      </c>
      <c r="M238" s="177">
        <f t="shared" si="224"/>
        <v>0.55123161653452768</v>
      </c>
      <c r="N238" s="125"/>
      <c r="O238" s="125"/>
      <c r="P238" s="125"/>
      <c r="Q238" s="126"/>
      <c r="R238" s="177">
        <f>R205/(R205+R114)</f>
        <v>0.52954061094008997</v>
      </c>
      <c r="S238" s="125"/>
      <c r="T238" s="125"/>
      <c r="U238" s="125"/>
      <c r="V238" s="125"/>
      <c r="W238" s="125"/>
      <c r="X238" s="178">
        <f>X205/(X205+X114)</f>
        <v>0.52016848665926807</v>
      </c>
      <c r="Y238" s="127"/>
      <c r="Z238" s="126"/>
      <c r="AA238" s="10">
        <f t="shared" ref="AA238:AH238" si="225">AA205/(AA205+AA114)</f>
        <v>0.52899405604118099</v>
      </c>
      <c r="AB238" s="10">
        <f t="shared" si="225"/>
        <v>0.53614375127165881</v>
      </c>
      <c r="AC238" s="10">
        <f t="shared" si="225"/>
        <v>0.54158318861286048</v>
      </c>
      <c r="AD238" s="10">
        <f t="shared" si="225"/>
        <v>0.54569468870758375</v>
      </c>
      <c r="AE238" s="10">
        <f t="shared" si="225"/>
        <v>0.54860836499231469</v>
      </c>
      <c r="AF238" s="10">
        <f t="shared" si="225"/>
        <v>0.55044451898121327</v>
      </c>
      <c r="AG238" s="10">
        <f t="shared" si="225"/>
        <v>0.55173918785095954</v>
      </c>
      <c r="AH238" s="10">
        <f t="shared" si="225"/>
        <v>0.55228725738368312</v>
      </c>
    </row>
    <row r="239" spans="2:36">
      <c r="B239" s="87" t="s">
        <v>106</v>
      </c>
      <c r="C239" s="125"/>
      <c r="D239" s="179">
        <f t="shared" ref="D239:M239" si="226">D36/(-D38)</f>
        <v>3.0392749244712989</v>
      </c>
      <c r="E239" s="179">
        <f t="shared" si="226"/>
        <v>3.0953846153846154</v>
      </c>
      <c r="F239" s="179">
        <f t="shared" si="226"/>
        <v>3.1491525423728812</v>
      </c>
      <c r="G239" s="179">
        <f t="shared" si="226"/>
        <v>3.0474576271186442</v>
      </c>
      <c r="H239" s="179">
        <f t="shared" si="226"/>
        <v>3.0924657534246576</v>
      </c>
      <c r="I239" s="179">
        <f t="shared" si="226"/>
        <v>2.6753246753246751</v>
      </c>
      <c r="J239" s="179">
        <f t="shared" si="226"/>
        <v>2.8918128654970761</v>
      </c>
      <c r="K239" s="179">
        <f t="shared" si="226"/>
        <v>3.2994186046511627</v>
      </c>
      <c r="L239" s="179">
        <f t="shared" si="226"/>
        <v>3.4189944134078214</v>
      </c>
      <c r="M239" s="180">
        <f t="shared" si="226"/>
        <v>3.5333333333333332</v>
      </c>
      <c r="N239" s="125"/>
      <c r="O239" s="125"/>
      <c r="P239" s="125"/>
      <c r="Q239" s="126"/>
      <c r="R239" s="180">
        <f>R36/(-R38)</f>
        <v>3.2058047493403694</v>
      </c>
      <c r="S239" s="125"/>
      <c r="T239" s="125"/>
      <c r="U239" s="125"/>
      <c r="V239" s="125"/>
      <c r="W239" s="125"/>
      <c r="X239" s="125"/>
      <c r="Y239" s="127"/>
      <c r="Z239" s="126"/>
      <c r="AA239" s="179">
        <f t="shared" ref="AA239:AH239" si="227">AA36/(-AA38)</f>
        <v>2.9717941537743262</v>
      </c>
      <c r="AB239" s="179">
        <f t="shared" si="227"/>
        <v>2.7004527636954356</v>
      </c>
      <c r="AC239" s="179">
        <f t="shared" si="227"/>
        <v>2.6274880877472868</v>
      </c>
      <c r="AD239" s="179">
        <f t="shared" si="227"/>
        <v>2.5864741353145728</v>
      </c>
      <c r="AE239" s="179">
        <f t="shared" si="227"/>
        <v>2.5692212691000935</v>
      </c>
      <c r="AF239" s="179">
        <f t="shared" si="227"/>
        <v>2.5722056892476837</v>
      </c>
      <c r="AG239" s="179">
        <f t="shared" si="227"/>
        <v>2.5928151891180118</v>
      </c>
      <c r="AH239" s="179">
        <f t="shared" si="227"/>
        <v>2.6271915434434852</v>
      </c>
    </row>
    <row r="240" spans="2:36">
      <c r="M240" s="59"/>
      <c r="Q240" s="59"/>
      <c r="R240" s="59"/>
      <c r="Y240" s="22"/>
      <c r="Z240" s="59"/>
    </row>
    <row r="241" spans="1:34">
      <c r="B241" s="90" t="s">
        <v>107</v>
      </c>
      <c r="M241" s="59"/>
      <c r="Q241" s="59"/>
      <c r="R241" s="59"/>
      <c r="Y241" s="22"/>
      <c r="Z241" s="59"/>
    </row>
    <row r="242" spans="1:34">
      <c r="B242" s="87" t="s">
        <v>108</v>
      </c>
      <c r="C242" s="125"/>
      <c r="D242" s="42">
        <f t="shared" ref="D242:M242" si="228">D44/(AVERAGE(C96:D96))</f>
        <v>4.3246059658720852E-2</v>
      </c>
      <c r="E242" s="42">
        <f t="shared" si="228"/>
        <v>4.1026076615985729E-2</v>
      </c>
      <c r="F242" s="42">
        <f t="shared" si="228"/>
        <v>3.7829972978590733E-2</v>
      </c>
      <c r="G242" s="42">
        <f t="shared" si="228"/>
        <v>3.1894484412470024E-2</v>
      </c>
      <c r="H242" s="42">
        <f t="shared" si="228"/>
        <v>3.7353735373537353E-2</v>
      </c>
      <c r="I242" s="42">
        <f t="shared" si="228"/>
        <v>3.1850371022939042E-2</v>
      </c>
      <c r="J242" s="42">
        <f t="shared" si="228"/>
        <v>3.5864914889097918E-2</v>
      </c>
      <c r="K242" s="42">
        <f t="shared" si="228"/>
        <v>3.5455500857348304E-2</v>
      </c>
      <c r="L242" s="42">
        <f t="shared" si="228"/>
        <v>3.7581658133023936E-2</v>
      </c>
      <c r="M242" s="172">
        <f t="shared" si="228"/>
        <v>3.7845225751720238E-2</v>
      </c>
      <c r="N242" s="125"/>
      <c r="O242" s="125"/>
      <c r="P242" s="125"/>
      <c r="Q242" s="126"/>
      <c r="R242" s="172">
        <f>R44/(AVERAGE(R96,M96))</f>
        <v>3.3820033955857386E-2</v>
      </c>
      <c r="S242" s="125"/>
      <c r="T242" s="125"/>
      <c r="U242" s="125"/>
      <c r="V242" s="125"/>
      <c r="W242" s="125"/>
      <c r="X242" s="125"/>
      <c r="Y242" s="127"/>
      <c r="Z242" s="126"/>
      <c r="AA242" s="42">
        <f>AA44/(AVERAGE(AA96,R96))</f>
        <v>1.8662772351746671E-2</v>
      </c>
      <c r="AB242" s="42">
        <f t="shared" ref="AB242:AH242" si="229">AB44/(AVERAGE(AA96:AB96))</f>
        <v>3.1724102934033473E-2</v>
      </c>
      <c r="AC242" s="42">
        <f t="shared" si="229"/>
        <v>3.1165027090375427E-2</v>
      </c>
      <c r="AD242" s="42">
        <f t="shared" si="229"/>
        <v>3.1012160092337832E-2</v>
      </c>
      <c r="AE242" s="42">
        <f t="shared" si="229"/>
        <v>3.1181449926686887E-2</v>
      </c>
      <c r="AF242" s="42">
        <f t="shared" si="229"/>
        <v>3.1640413576034698E-2</v>
      </c>
      <c r="AG242" s="42">
        <f t="shared" si="229"/>
        <v>3.068573460206327E-2</v>
      </c>
      <c r="AH242" s="42">
        <f t="shared" si="229"/>
        <v>3.0728560581357978E-2</v>
      </c>
    </row>
    <row r="243" spans="1:34">
      <c r="A243" s="42"/>
      <c r="B243" s="87" t="s">
        <v>103</v>
      </c>
      <c r="C243" s="125"/>
      <c r="D243" s="42">
        <f t="shared" ref="D243:M243" si="230">D44/(AVERAGE(C114:D114))</f>
        <v>0.11298922291548497</v>
      </c>
      <c r="E243" s="42">
        <f t="shared" si="230"/>
        <v>0.10454545454545454</v>
      </c>
      <c r="F243" s="42">
        <f t="shared" si="230"/>
        <v>9.5417846282898192E-2</v>
      </c>
      <c r="G243" s="42">
        <f t="shared" si="230"/>
        <v>8.220871536004945E-2</v>
      </c>
      <c r="H243" s="42">
        <f t="shared" si="230"/>
        <v>9.9500499500499495E-2</v>
      </c>
      <c r="I243" s="42">
        <f t="shared" si="230"/>
        <v>8.9167140959969651E-2</v>
      </c>
      <c r="J243" s="42">
        <f t="shared" si="230"/>
        <v>0.10369330643038863</v>
      </c>
      <c r="K243" s="42">
        <f t="shared" si="230"/>
        <v>0.10309609971853639</v>
      </c>
      <c r="L243" s="42">
        <f t="shared" si="230"/>
        <v>0.11216501053899428</v>
      </c>
      <c r="M243" s="172">
        <f t="shared" si="230"/>
        <v>0.11274131274131274</v>
      </c>
      <c r="N243" s="125"/>
      <c r="O243" s="125"/>
      <c r="P243" s="125"/>
      <c r="Q243" s="126"/>
      <c r="R243" s="172">
        <f>R44/(AVERAGE(R114,M114))</f>
        <v>9.7252961853925277E-2</v>
      </c>
      <c r="S243" s="125"/>
      <c r="T243" s="125"/>
      <c r="U243" s="125"/>
      <c r="V243" s="125"/>
      <c r="W243" s="125"/>
      <c r="X243" s="125"/>
      <c r="Y243" s="127"/>
      <c r="Z243" s="126"/>
      <c r="AA243" s="42">
        <f>(AA44-V44)/(AVERAGE(AA114,R114))</f>
        <v>8.3810272634826405E-2</v>
      </c>
      <c r="AB243" s="42">
        <f t="shared" ref="AB243:AH243" si="231">AB44/(AVERAGE(AA114:AB114))</f>
        <v>8.2234125641411027E-2</v>
      </c>
      <c r="AC243" s="42">
        <f t="shared" si="231"/>
        <v>8.1586866576725689E-2</v>
      </c>
      <c r="AD243" s="42">
        <f t="shared" si="231"/>
        <v>8.1763971153889087E-2</v>
      </c>
      <c r="AE243" s="42">
        <f t="shared" si="231"/>
        <v>8.261903068683657E-2</v>
      </c>
      <c r="AF243" s="42">
        <f t="shared" si="231"/>
        <v>8.4084158476041296E-2</v>
      </c>
      <c r="AG243" s="42">
        <f t="shared" si="231"/>
        <v>8.1678496658246294E-2</v>
      </c>
      <c r="AH243" s="42">
        <f t="shared" si="231"/>
        <v>8.1837857084124985E-2</v>
      </c>
    </row>
    <row r="244" spans="1:34">
      <c r="M244" s="59"/>
      <c r="Q244" s="59"/>
      <c r="R244" s="59"/>
      <c r="Y244" s="22"/>
      <c r="Z244" s="59"/>
    </row>
    <row r="245" spans="1:34">
      <c r="B245" s="90" t="s">
        <v>102</v>
      </c>
      <c r="M245" s="59"/>
      <c r="Q245" s="59"/>
      <c r="R245" s="59"/>
      <c r="Y245" s="22"/>
      <c r="Z245" s="59"/>
    </row>
    <row r="246" spans="1:34">
      <c r="B246" s="87" t="s">
        <v>103</v>
      </c>
      <c r="C246" s="5">
        <f t="shared" ref="C246:M246" si="232">C44-C26+C60+C63+C68</f>
        <v>208</v>
      </c>
      <c r="D246" s="5">
        <f t="shared" si="232"/>
        <v>301</v>
      </c>
      <c r="E246" s="5">
        <f t="shared" si="232"/>
        <v>285</v>
      </c>
      <c r="F246" s="5">
        <f t="shared" si="232"/>
        <v>287</v>
      </c>
      <c r="G246" s="5">
        <f t="shared" si="232"/>
        <v>249</v>
      </c>
      <c r="H246" s="5">
        <f t="shared" si="232"/>
        <v>397</v>
      </c>
      <c r="I246" s="5">
        <f t="shared" si="232"/>
        <v>208</v>
      </c>
      <c r="J246" s="5">
        <f t="shared" si="232"/>
        <v>543</v>
      </c>
      <c r="K246" s="5">
        <f t="shared" si="232"/>
        <v>233</v>
      </c>
      <c r="L246" s="5">
        <f t="shared" si="232"/>
        <v>398</v>
      </c>
      <c r="M246" s="59">
        <f t="shared" si="232"/>
        <v>652</v>
      </c>
      <c r="N246" s="125"/>
      <c r="O246" s="125"/>
      <c r="P246" s="125"/>
      <c r="Q246" s="126"/>
      <c r="R246" s="59">
        <f>R44-R26+R60+R63+R68</f>
        <v>-267</v>
      </c>
      <c r="S246" s="125"/>
      <c r="T246" s="125"/>
      <c r="U246" s="125"/>
      <c r="V246" s="125"/>
      <c r="W246" s="125"/>
      <c r="X246" s="125"/>
      <c r="Y246" s="127"/>
      <c r="Z246" s="126"/>
      <c r="AA246" s="5">
        <f>AA44-AA26+AA60+AA63+AA68-V44</f>
        <v>566.5210591406244</v>
      </c>
      <c r="AB246" s="5">
        <f t="shared" ref="AB246:AH246" si="233">AB44-AB26+AB60+AB63+AB68</f>
        <v>585.67227510175735</v>
      </c>
      <c r="AC246" s="5">
        <f t="shared" si="233"/>
        <v>593.08386700377923</v>
      </c>
      <c r="AD246" s="5">
        <f t="shared" si="233"/>
        <v>606.63300494719033</v>
      </c>
      <c r="AE246" s="5">
        <f t="shared" si="233"/>
        <v>625.70377336082674</v>
      </c>
      <c r="AF246" s="5">
        <f t="shared" si="233"/>
        <v>650.21023498494333</v>
      </c>
      <c r="AG246" s="5">
        <f t="shared" si="233"/>
        <v>644.82972620625833</v>
      </c>
      <c r="AH246" s="5">
        <f t="shared" si="233"/>
        <v>659.4300621050088</v>
      </c>
    </row>
    <row r="247" spans="1:34">
      <c r="B247" s="87" t="s">
        <v>104</v>
      </c>
      <c r="C247" s="5">
        <f t="shared" ref="C247:M247" si="234">C36*(1-C211)-C26+C60+C68</f>
        <v>932</v>
      </c>
      <c r="D247" s="5">
        <f t="shared" si="234"/>
        <v>462.20444444444456</v>
      </c>
      <c r="E247" s="5">
        <f t="shared" si="234"/>
        <v>703.50660792951521</v>
      </c>
      <c r="F247" s="5">
        <f t="shared" si="234"/>
        <v>252.71135646687708</v>
      </c>
      <c r="G247" s="5">
        <f t="shared" si="234"/>
        <v>151.43377483443692</v>
      </c>
      <c r="H247" s="5">
        <f t="shared" si="234"/>
        <v>124.99672667757773</v>
      </c>
      <c r="I247" s="5">
        <f t="shared" si="234"/>
        <v>-316.45736434108539</v>
      </c>
      <c r="J247" s="5">
        <f t="shared" si="234"/>
        <v>10.398763523956859</v>
      </c>
      <c r="K247" s="5">
        <f t="shared" si="234"/>
        <v>272.76611883691521</v>
      </c>
      <c r="L247" s="5">
        <f t="shared" si="234"/>
        <v>217.97921478060039</v>
      </c>
      <c r="M247" s="59">
        <f t="shared" si="234"/>
        <v>394.97368421052647</v>
      </c>
      <c r="N247" s="125"/>
      <c r="O247" s="125"/>
      <c r="P247" s="125"/>
      <c r="Q247" s="126"/>
      <c r="R247" s="59">
        <f>R36*(1-R211)-R26+R60+R68</f>
        <v>248.65191387559798</v>
      </c>
      <c r="S247" s="125"/>
      <c r="T247" s="125"/>
      <c r="U247" s="125"/>
      <c r="V247" s="125"/>
      <c r="W247" s="125"/>
      <c r="X247" s="125"/>
      <c r="Y247" s="127"/>
      <c r="Z247" s="126"/>
      <c r="AA247" s="5">
        <f>AA36*(1-AJ211)-AA26+AA60+AA68</f>
        <v>-841.88411595021489</v>
      </c>
      <c r="AB247" s="5">
        <f t="shared" ref="AB247:AH247" si="235">AB36*(1-AB211)-AB26+AB60+AB68</f>
        <v>379.98023902017985</v>
      </c>
      <c r="AC247" s="5">
        <f t="shared" si="235"/>
        <v>461.8761273390453</v>
      </c>
      <c r="AD247" s="5">
        <f t="shared" si="235"/>
        <v>532.99169383431217</v>
      </c>
      <c r="AE247" s="5">
        <f t="shared" si="235"/>
        <v>602.92454138226003</v>
      </c>
      <c r="AF247" s="5">
        <f t="shared" si="235"/>
        <v>670.94420086384616</v>
      </c>
      <c r="AG247" s="5">
        <f t="shared" si="235"/>
        <v>740.34413266146885</v>
      </c>
      <c r="AH247" s="5">
        <f t="shared" si="235"/>
        <v>811.52937177570493</v>
      </c>
    </row>
    <row r="248" spans="1:34">
      <c r="M248" s="59"/>
      <c r="Q248" s="59"/>
      <c r="R248" s="59"/>
      <c r="Y248" s="22"/>
      <c r="Z248" s="59"/>
    </row>
    <row r="249" spans="1:34">
      <c r="AA249" s="31"/>
      <c r="AB249" s="31"/>
      <c r="AC249" s="31"/>
      <c r="AD249" s="31"/>
      <c r="AE249" s="31"/>
      <c r="AF249" s="31"/>
      <c r="AG249" s="31"/>
      <c r="AH249" s="31"/>
    </row>
  </sheetData>
  <pageMargins left="0.7" right="0.7" top="0.75" bottom="0.75" header="0.3" footer="0.3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13"/>
  <sheetViews>
    <sheetView zoomScaleNormal="100" workbookViewId="0"/>
  </sheetViews>
  <sheetFormatPr defaultRowHeight="12"/>
  <cols>
    <col min="1" max="1" width="9.140625" style="1"/>
    <col min="2" max="2" width="21.7109375" style="2" customWidth="1"/>
    <col min="3" max="3" width="9.7109375" style="1" customWidth="1"/>
    <col min="4" max="4" width="3.7109375" style="1" customWidth="1"/>
    <col min="5" max="5" width="20.85546875" style="2" customWidth="1"/>
    <col min="6" max="10" width="9.140625" style="1" customWidth="1"/>
    <col min="11" max="11" width="9.140625" style="1"/>
    <col min="12" max="12" width="13.7109375" style="2" customWidth="1"/>
    <col min="13" max="17" width="9.140625" style="1"/>
    <col min="18" max="19" width="9.140625" style="2" customWidth="1"/>
    <col min="20" max="20" width="9.140625" style="1"/>
    <col min="21" max="21" width="13.7109375" style="2" customWidth="1"/>
    <col min="22" max="28" width="9.140625" style="1"/>
    <col min="29" max="29" width="9.140625" style="1" customWidth="1"/>
    <col min="30" max="16384" width="9.140625" style="1"/>
  </cols>
  <sheetData>
    <row r="1" spans="1:28">
      <c r="C1" s="2"/>
      <c r="D1" s="2"/>
      <c r="F1" s="2"/>
      <c r="G1" s="2"/>
      <c r="H1" s="2"/>
      <c r="I1" s="2"/>
      <c r="J1" s="2"/>
      <c r="K1" s="2"/>
      <c r="M1" s="2"/>
      <c r="N1" s="2"/>
      <c r="O1" s="2"/>
      <c r="P1" s="2"/>
    </row>
    <row r="2" spans="1:28">
      <c r="A2" s="181"/>
      <c r="B2" s="182"/>
      <c r="C2" s="183"/>
      <c r="D2" s="183"/>
      <c r="E2" s="47"/>
      <c r="F2" s="30"/>
      <c r="G2" s="30"/>
      <c r="H2" s="30"/>
      <c r="I2" s="30"/>
      <c r="J2" s="30"/>
      <c r="R2" s="184"/>
      <c r="S2" s="184"/>
      <c r="T2" s="185"/>
      <c r="AA2" s="185"/>
      <c r="AB2" s="184"/>
    </row>
    <row r="3" spans="1:28">
      <c r="A3" s="181"/>
      <c r="B3" s="182"/>
      <c r="C3" s="183"/>
      <c r="D3" s="183"/>
      <c r="E3" s="47"/>
      <c r="F3" s="30"/>
      <c r="G3" s="30"/>
      <c r="H3" s="30"/>
      <c r="I3" s="30"/>
      <c r="J3" s="30"/>
      <c r="V3" s="181"/>
      <c r="W3" s="186"/>
      <c r="X3" s="181"/>
      <c r="Y3" s="181"/>
      <c r="Z3" s="181"/>
    </row>
    <row r="4" spans="1:28">
      <c r="B4" s="272" t="s">
        <v>110</v>
      </c>
      <c r="C4" s="272"/>
      <c r="D4" s="183"/>
      <c r="E4" s="272" t="s">
        <v>150</v>
      </c>
      <c r="F4" s="275">
        <v>2015</v>
      </c>
      <c r="G4" s="275">
        <f>F4+1</f>
        <v>2016</v>
      </c>
      <c r="H4" s="275">
        <f>G4+1</f>
        <v>2017</v>
      </c>
      <c r="I4" s="275">
        <f>H4+1</f>
        <v>2018</v>
      </c>
      <c r="J4" s="275">
        <f>I4+1</f>
        <v>2019</v>
      </c>
      <c r="L4" s="283" t="s">
        <v>124</v>
      </c>
      <c r="M4" s="284">
        <v>2009</v>
      </c>
      <c r="N4" s="284">
        <v>2010</v>
      </c>
      <c r="O4" s="284">
        <v>2011</v>
      </c>
      <c r="P4" s="284">
        <v>2012</v>
      </c>
      <c r="Q4" s="284">
        <v>2013</v>
      </c>
      <c r="R4" s="284">
        <v>2014</v>
      </c>
      <c r="S4" s="284" t="s">
        <v>205</v>
      </c>
      <c r="T4" s="20"/>
      <c r="U4" s="283" t="s">
        <v>135</v>
      </c>
      <c r="V4" s="284">
        <v>2009</v>
      </c>
      <c r="W4" s="284">
        <v>2010</v>
      </c>
      <c r="X4" s="284">
        <v>2011</v>
      </c>
      <c r="Y4" s="284">
        <v>2012</v>
      </c>
      <c r="Z4" s="284">
        <v>2013</v>
      </c>
      <c r="AA4" s="284">
        <v>2014</v>
      </c>
      <c r="AB4" s="284" t="s">
        <v>205</v>
      </c>
    </row>
    <row r="5" spans="1:28">
      <c r="B5" s="273"/>
      <c r="C5" s="274"/>
      <c r="D5" s="30"/>
      <c r="E5" s="47"/>
      <c r="F5" s="30"/>
      <c r="G5" s="30"/>
      <c r="H5" s="30"/>
      <c r="I5" s="30"/>
      <c r="J5" s="30"/>
      <c r="R5" s="1"/>
      <c r="S5" s="1"/>
    </row>
    <row r="6" spans="1:28">
      <c r="B6" s="315" t="s">
        <v>145</v>
      </c>
      <c r="C6" s="316"/>
      <c r="D6" s="30"/>
      <c r="E6" s="187" t="s">
        <v>152</v>
      </c>
      <c r="F6" s="30"/>
      <c r="G6" s="30"/>
      <c r="H6" s="30"/>
      <c r="I6" s="30"/>
      <c r="J6" s="30"/>
      <c r="L6" s="2" t="s">
        <v>132</v>
      </c>
      <c r="M6" s="110">
        <v>16.603071031746033</v>
      </c>
      <c r="N6" s="110">
        <v>21.773525000000006</v>
      </c>
      <c r="O6" s="110">
        <v>27.06492738095239</v>
      </c>
      <c r="P6" s="110">
        <v>30.187463199999989</v>
      </c>
      <c r="Q6" s="110">
        <v>30.416734126984107</v>
      </c>
      <c r="R6" s="110">
        <v>33.337634523809534</v>
      </c>
      <c r="S6" s="188">
        <v>43.88</v>
      </c>
      <c r="U6" s="2" t="s">
        <v>132</v>
      </c>
      <c r="V6" s="110">
        <v>18.495169841269842</v>
      </c>
      <c r="W6" s="110">
        <v>23.759373015872995</v>
      </c>
      <c r="X6" s="110">
        <v>29.643228571428565</v>
      </c>
      <c r="Y6" s="110">
        <v>33.748806000000016</v>
      </c>
      <c r="Z6" s="110">
        <v>39.312277380952402</v>
      </c>
      <c r="AA6" s="110">
        <v>44.572981349206358</v>
      </c>
      <c r="AB6" s="188">
        <v>50.63</v>
      </c>
    </row>
    <row r="7" spans="1:28">
      <c r="B7" s="47"/>
      <c r="C7" s="30"/>
      <c r="D7" s="30"/>
      <c r="E7" s="47" t="s">
        <v>168</v>
      </c>
      <c r="F7" s="189">
        <v>0.15</v>
      </c>
      <c r="G7" s="189">
        <v>0.15</v>
      </c>
      <c r="H7" s="189">
        <v>0.15</v>
      </c>
      <c r="I7" s="189">
        <v>0.15</v>
      </c>
      <c r="J7" s="189">
        <v>0</v>
      </c>
      <c r="L7" s="2" t="s">
        <v>125</v>
      </c>
      <c r="M7" s="110">
        <v>1.4655</v>
      </c>
      <c r="N7" s="110">
        <v>1.6060999999999999</v>
      </c>
      <c r="O7" s="110">
        <v>2.0644</v>
      </c>
      <c r="P7" s="110">
        <v>2.0585999999999998</v>
      </c>
      <c r="Q7" s="110">
        <v>2.2302</v>
      </c>
      <c r="R7" s="110">
        <v>2.9719000000000002</v>
      </c>
      <c r="S7" s="110">
        <v>2.7919999999999998</v>
      </c>
      <c r="U7" s="2" t="s">
        <v>125</v>
      </c>
      <c r="V7" s="110">
        <v>5.4394300000000007</v>
      </c>
      <c r="W7" s="110">
        <v>4.8981669999999999</v>
      </c>
      <c r="X7" s="110">
        <v>4.4656570000000002</v>
      </c>
      <c r="Y7" s="110">
        <v>6.2737870000000004</v>
      </c>
      <c r="Z7" s="110">
        <v>7.3012039999999994</v>
      </c>
      <c r="AA7" s="110">
        <v>7.7418559999999994</v>
      </c>
      <c r="AB7" s="110">
        <v>8.1039999999999992</v>
      </c>
    </row>
    <row r="8" spans="1:28">
      <c r="B8" s="187" t="s">
        <v>82</v>
      </c>
      <c r="C8" s="30"/>
      <c r="D8" s="30"/>
      <c r="E8" s="47" t="s">
        <v>155</v>
      </c>
      <c r="F8" s="190">
        <f>F7</f>
        <v>0.15</v>
      </c>
      <c r="G8" s="190">
        <f>F8+G7</f>
        <v>0.3</v>
      </c>
      <c r="H8" s="190">
        <f>G8+H7</f>
        <v>0.44999999999999996</v>
      </c>
      <c r="I8" s="190">
        <f>H8+I7</f>
        <v>0.6</v>
      </c>
      <c r="J8" s="190">
        <f>I8+J7</f>
        <v>0.6</v>
      </c>
      <c r="L8" s="2" t="s">
        <v>126</v>
      </c>
      <c r="M8" s="110">
        <v>0.54720000000000002</v>
      </c>
      <c r="N8" s="110">
        <v>0.56240000000000001</v>
      </c>
      <c r="O8" s="110">
        <v>0.5675</v>
      </c>
      <c r="P8" s="110">
        <v>0.62470000000000003</v>
      </c>
      <c r="Q8" s="110">
        <v>0.70489999999999997</v>
      </c>
      <c r="R8" s="110">
        <v>0.99629999999999996</v>
      </c>
      <c r="S8" s="110">
        <v>0.89100000000000001</v>
      </c>
      <c r="U8" s="2" t="s">
        <v>126</v>
      </c>
      <c r="V8" s="110">
        <v>1.0609929999999999</v>
      </c>
      <c r="W8" s="110">
        <v>1.1006279999999999</v>
      </c>
      <c r="X8" s="110">
        <v>1.096368</v>
      </c>
      <c r="Y8" s="110">
        <v>1.637216</v>
      </c>
      <c r="Z8" s="110">
        <v>2.140212</v>
      </c>
      <c r="AA8" s="110">
        <v>2.247506</v>
      </c>
      <c r="AB8" s="110">
        <v>2.4359999999999999</v>
      </c>
    </row>
    <row r="9" spans="1:28">
      <c r="D9" s="30"/>
      <c r="E9" s="47"/>
      <c r="F9" s="30"/>
      <c r="G9" s="30"/>
      <c r="H9" s="30"/>
      <c r="I9" s="30"/>
      <c r="J9" s="30"/>
      <c r="L9" s="2" t="s">
        <v>111</v>
      </c>
      <c r="M9" s="110">
        <v>0.1757</v>
      </c>
      <c r="N9" s="110">
        <v>0.19419999999999998</v>
      </c>
      <c r="O9" s="110">
        <v>0.24769999999999998</v>
      </c>
      <c r="P9" s="110">
        <v>0.2319</v>
      </c>
      <c r="Q9" s="110">
        <v>0.23680000000000001</v>
      </c>
      <c r="R9" s="110">
        <v>0.43289999999999995</v>
      </c>
      <c r="S9" s="110">
        <v>0.40100000000000002</v>
      </c>
      <c r="T9" s="181"/>
      <c r="U9" s="2" t="s">
        <v>111</v>
      </c>
      <c r="V9" s="110">
        <v>0.335592</v>
      </c>
      <c r="W9" s="110">
        <v>0.39410700000000004</v>
      </c>
      <c r="X9" s="110">
        <v>0.40051299999999995</v>
      </c>
      <c r="Y9" s="110">
        <v>0.53307700000000002</v>
      </c>
      <c r="Z9" s="110">
        <v>0.79368899999999998</v>
      </c>
      <c r="AA9" s="110">
        <v>0.82706500000000005</v>
      </c>
      <c r="AB9" s="110">
        <v>0.99250000000000005</v>
      </c>
    </row>
    <row r="10" spans="1:28">
      <c r="B10" s="47" t="s">
        <v>141</v>
      </c>
      <c r="C10" s="21">
        <v>733</v>
      </c>
      <c r="D10" s="30"/>
      <c r="E10" s="187" t="s">
        <v>110</v>
      </c>
      <c r="F10" s="30"/>
      <c r="G10" s="30"/>
      <c r="H10" s="30"/>
      <c r="I10" s="30"/>
      <c r="J10" s="30"/>
      <c r="L10" s="2" t="s">
        <v>127</v>
      </c>
      <c r="M10" s="110">
        <v>0.1158</v>
      </c>
      <c r="N10" s="110">
        <v>0.13200000000000001</v>
      </c>
      <c r="O10" s="110">
        <v>0.15759999999999999</v>
      </c>
      <c r="P10" s="110">
        <v>0.16839999999999999</v>
      </c>
      <c r="Q10" s="110">
        <v>0.18559999999999999</v>
      </c>
      <c r="R10" s="110">
        <v>0.21</v>
      </c>
      <c r="S10" s="110">
        <v>0.22</v>
      </c>
      <c r="T10" s="181"/>
      <c r="U10" s="2" t="s">
        <v>127</v>
      </c>
      <c r="V10" s="110">
        <v>0.162381</v>
      </c>
      <c r="W10" s="110">
        <v>0.18054200000000001</v>
      </c>
      <c r="X10" s="110">
        <v>0.19455500000000001</v>
      </c>
      <c r="Y10" s="110">
        <v>0.37504700000000002</v>
      </c>
      <c r="Z10" s="110">
        <v>0.46274099999999996</v>
      </c>
      <c r="AA10" s="110">
        <v>0.47522699999999996</v>
      </c>
      <c r="AB10" s="110">
        <v>0.503</v>
      </c>
    </row>
    <row r="11" spans="1:28">
      <c r="B11" s="47" t="s">
        <v>103</v>
      </c>
      <c r="C11" s="21">
        <v>9397.9999999999982</v>
      </c>
      <c r="D11" s="30"/>
      <c r="E11" s="47" t="s">
        <v>154</v>
      </c>
      <c r="F11" s="153">
        <v>0</v>
      </c>
      <c r="G11" s="153">
        <v>0.02</v>
      </c>
      <c r="H11" s="153">
        <v>0.02</v>
      </c>
      <c r="I11" s="153">
        <v>0.02</v>
      </c>
      <c r="J11" s="153">
        <v>0.02</v>
      </c>
      <c r="L11" s="2" t="s">
        <v>19</v>
      </c>
      <c r="M11" s="110">
        <v>2.5996999999999999</v>
      </c>
      <c r="N11" s="110">
        <v>3.2256</v>
      </c>
      <c r="O11" s="110">
        <v>3.4069000000000003</v>
      </c>
      <c r="P11" s="110">
        <v>3.1911</v>
      </c>
      <c r="Q11" s="110">
        <v>3.7009000000000003</v>
      </c>
      <c r="R11" s="110">
        <v>3.6968000000000001</v>
      </c>
      <c r="S11" s="110">
        <v>3.536</v>
      </c>
      <c r="T11" s="179"/>
      <c r="U11" s="2" t="s">
        <v>19</v>
      </c>
      <c r="V11" s="110">
        <v>4.5322690000000003</v>
      </c>
      <c r="W11" s="110">
        <v>4.6757569999999999</v>
      </c>
      <c r="X11" s="110">
        <v>4.9399359999999994</v>
      </c>
      <c r="Y11" s="110">
        <v>7.9177460000000002</v>
      </c>
      <c r="Z11" s="110">
        <v>8.2668150000000011</v>
      </c>
      <c r="AA11" s="110">
        <v>8.8128970000000013</v>
      </c>
      <c r="AB11" s="110">
        <v>8.9320000000000004</v>
      </c>
    </row>
    <row r="12" spans="1:28">
      <c r="B12" s="47" t="s">
        <v>126</v>
      </c>
      <c r="C12" s="21">
        <v>1957</v>
      </c>
      <c r="D12" s="30"/>
      <c r="E12" s="47" t="s">
        <v>153</v>
      </c>
      <c r="F12" s="22">
        <f>C34</f>
        <v>11030.603305493209</v>
      </c>
      <c r="G12" s="22">
        <f>F12*(1+G11)</f>
        <v>11251.215371603073</v>
      </c>
      <c r="H12" s="22">
        <f>G12*(1+H11)</f>
        <v>11476.239679035136</v>
      </c>
      <c r="I12" s="22">
        <f>H12*(1+I11)</f>
        <v>11705.76447261584</v>
      </c>
      <c r="J12" s="22">
        <f>I12*(1+J11)</f>
        <v>11939.879762068156</v>
      </c>
      <c r="L12" s="2" t="s">
        <v>103</v>
      </c>
      <c r="M12" s="110">
        <v>1.5035000000000001</v>
      </c>
      <c r="N12" s="110">
        <v>1.7735999999999998</v>
      </c>
      <c r="O12" s="110">
        <v>1.8237000000000001</v>
      </c>
      <c r="P12" s="110">
        <v>2.2778</v>
      </c>
      <c r="Q12" s="110">
        <v>2.8971999999999998</v>
      </c>
      <c r="R12" s="110">
        <v>3.7054</v>
      </c>
      <c r="S12" s="110">
        <v>4</v>
      </c>
      <c r="T12" s="179"/>
      <c r="U12" s="2" t="s">
        <v>103</v>
      </c>
      <c r="V12" s="110">
        <v>3.5779019999999999</v>
      </c>
      <c r="W12" s="110">
        <v>3.8111760000000001</v>
      </c>
      <c r="X12" s="110">
        <v>4.01267</v>
      </c>
      <c r="Y12" s="110">
        <v>9.23705</v>
      </c>
      <c r="Z12" s="110">
        <v>9.6115279999999998</v>
      </c>
      <c r="AA12" s="110">
        <v>9.9768150000000002</v>
      </c>
      <c r="AB12" s="110">
        <v>10.185</v>
      </c>
    </row>
    <row r="13" spans="1:28">
      <c r="B13" s="47"/>
      <c r="C13" s="30"/>
      <c r="D13" s="30"/>
      <c r="E13" s="47" t="s">
        <v>151</v>
      </c>
      <c r="F13" s="191">
        <v>0</v>
      </c>
      <c r="G13" s="191">
        <v>0</v>
      </c>
      <c r="H13" s="191">
        <v>0</v>
      </c>
      <c r="I13" s="191">
        <v>0</v>
      </c>
      <c r="J13" s="191">
        <v>0</v>
      </c>
      <c r="L13" s="2" t="s">
        <v>108</v>
      </c>
      <c r="M13" s="181">
        <v>5.2931999999999997</v>
      </c>
      <c r="N13" s="181">
        <v>6.3291000000000004</v>
      </c>
      <c r="O13" s="181">
        <v>6.9236000000000004</v>
      </c>
      <c r="P13" s="181">
        <v>7.5271999999999997</v>
      </c>
      <c r="Q13" s="181">
        <v>8.8767999999999994</v>
      </c>
      <c r="R13" s="181">
        <v>9.8444000000000003</v>
      </c>
      <c r="S13" s="181">
        <v>9.8870000000000005</v>
      </c>
      <c r="T13" s="179"/>
      <c r="U13" s="2" t="s">
        <v>108</v>
      </c>
      <c r="V13" s="181">
        <v>14.057679</v>
      </c>
      <c r="W13" s="181">
        <v>14.522041999999999</v>
      </c>
      <c r="X13" s="181">
        <v>15.647066000000001</v>
      </c>
      <c r="Y13" s="181">
        <v>28.302824000000001</v>
      </c>
      <c r="Z13" s="181">
        <v>27.795536999999999</v>
      </c>
      <c r="AA13" s="181">
        <v>29.777974999999998</v>
      </c>
      <c r="AB13" s="181">
        <v>29.879000000000001</v>
      </c>
    </row>
    <row r="14" spans="1:28">
      <c r="B14" s="187" t="s">
        <v>146</v>
      </c>
      <c r="C14" s="30"/>
      <c r="D14" s="30"/>
      <c r="E14" s="47"/>
      <c r="F14" s="30"/>
      <c r="G14" s="30"/>
      <c r="H14" s="30"/>
      <c r="I14" s="30"/>
      <c r="J14" s="30"/>
      <c r="L14" s="2" t="s">
        <v>131</v>
      </c>
      <c r="M14" s="192">
        <v>112.5</v>
      </c>
      <c r="N14" s="192">
        <v>113.7</v>
      </c>
      <c r="O14" s="192">
        <v>121</v>
      </c>
      <c r="P14" s="192">
        <v>124.9</v>
      </c>
      <c r="Q14" s="192">
        <v>132.6</v>
      </c>
      <c r="R14" s="192">
        <v>143.19999999999999</v>
      </c>
      <c r="S14" s="192">
        <v>145.19999999999999</v>
      </c>
      <c r="T14" s="42"/>
      <c r="U14" s="2" t="s">
        <v>131</v>
      </c>
      <c r="V14" s="192">
        <v>172.56792800000002</v>
      </c>
      <c r="W14" s="192">
        <v>176.63608600000001</v>
      </c>
      <c r="X14" s="192">
        <v>177.41016699999997</v>
      </c>
      <c r="Y14" s="192">
        <v>277.20981900000004</v>
      </c>
      <c r="Z14" s="192">
        <v>315.31138699999997</v>
      </c>
      <c r="AA14" s="192">
        <v>316.13674800000001</v>
      </c>
      <c r="AB14" s="192">
        <v>317.613</v>
      </c>
    </row>
    <row r="15" spans="1:28" ht="12.75" thickBot="1">
      <c r="D15" s="30"/>
      <c r="E15" s="187" t="s">
        <v>157</v>
      </c>
      <c r="F15" s="36">
        <f>(1-F13)*F12*F7</f>
        <v>1654.5904958239812</v>
      </c>
      <c r="G15" s="36">
        <f>(1-G13)*G12*G7</f>
        <v>1687.6823057404611</v>
      </c>
      <c r="H15" s="36">
        <f>(1-H13)*H12*H7</f>
        <v>1721.4359518552703</v>
      </c>
      <c r="I15" s="36">
        <f>(1-I13)*I12*I7</f>
        <v>1755.8646708923759</v>
      </c>
      <c r="J15" s="36">
        <f>(1-J13)*J12*J7</f>
        <v>0</v>
      </c>
      <c r="L15" s="193"/>
      <c r="M15" s="194"/>
      <c r="N15" s="195"/>
      <c r="O15" s="196"/>
      <c r="P15" s="5"/>
      <c r="Q15" s="181"/>
      <c r="V15" s="31"/>
    </row>
    <row r="16" spans="1:28" ht="12.75" thickTop="1">
      <c r="B16" s="47" t="s">
        <v>143</v>
      </c>
      <c r="C16" s="197">
        <f>S59</f>
        <v>19.537078448096004</v>
      </c>
      <c r="D16" s="30"/>
      <c r="E16" s="47"/>
      <c r="F16" s="22"/>
      <c r="G16" s="22"/>
      <c r="H16" s="22"/>
      <c r="I16" s="22"/>
      <c r="J16" s="22"/>
      <c r="L16" s="283" t="s">
        <v>133</v>
      </c>
      <c r="M16" s="284">
        <v>2009</v>
      </c>
      <c r="N16" s="284">
        <v>2010</v>
      </c>
      <c r="O16" s="284">
        <v>2011</v>
      </c>
      <c r="P16" s="284">
        <v>2012</v>
      </c>
      <c r="Q16" s="284">
        <v>2013</v>
      </c>
      <c r="R16" s="284">
        <v>2014</v>
      </c>
      <c r="S16" s="284" t="s">
        <v>205</v>
      </c>
      <c r="T16" s="20"/>
      <c r="U16" s="283" t="s">
        <v>134</v>
      </c>
      <c r="V16" s="284">
        <v>2009</v>
      </c>
      <c r="W16" s="284">
        <v>2010</v>
      </c>
      <c r="X16" s="284">
        <v>2011</v>
      </c>
      <c r="Y16" s="284">
        <v>2012</v>
      </c>
      <c r="Z16" s="284">
        <v>2013</v>
      </c>
      <c r="AA16" s="284">
        <v>2014</v>
      </c>
      <c r="AB16" s="284" t="s">
        <v>205</v>
      </c>
    </row>
    <row r="17" spans="2:28">
      <c r="B17" s="47" t="s">
        <v>144</v>
      </c>
      <c r="C17" s="197">
        <f>S51</f>
        <v>1.3268376818537757</v>
      </c>
      <c r="D17" s="30"/>
      <c r="E17" s="276" t="s">
        <v>169</v>
      </c>
      <c r="F17" s="277"/>
      <c r="G17" s="277"/>
      <c r="H17" s="277"/>
      <c r="I17" s="277"/>
      <c r="J17" s="277"/>
      <c r="R17" s="1"/>
      <c r="S17" s="1"/>
    </row>
    <row r="18" spans="2:28">
      <c r="B18" s="47" t="s">
        <v>126</v>
      </c>
      <c r="C18" s="197">
        <f>S67</f>
        <v>11.029945480579054</v>
      </c>
      <c r="D18" s="30"/>
      <c r="E18" s="47"/>
      <c r="F18" s="30"/>
      <c r="G18" s="30"/>
      <c r="H18" s="30"/>
      <c r="I18" s="30"/>
      <c r="J18" s="30"/>
      <c r="L18" s="2" t="s">
        <v>132</v>
      </c>
      <c r="M18" s="110">
        <v>19.756486904761907</v>
      </c>
      <c r="N18" s="110">
        <v>24.558460714285705</v>
      </c>
      <c r="O18" s="110">
        <v>28.179264682539671</v>
      </c>
      <c r="P18" s="110">
        <v>29.655871600000005</v>
      </c>
      <c r="Q18" s="110">
        <v>30.156503571428566</v>
      </c>
      <c r="R18" s="110">
        <v>32.337486111111119</v>
      </c>
      <c r="S18" s="188">
        <v>38.1</v>
      </c>
      <c r="U18" s="2" t="s">
        <v>132</v>
      </c>
      <c r="V18" s="110">
        <v>32.103946825396825</v>
      </c>
      <c r="W18" s="110">
        <v>29.773286111111126</v>
      </c>
      <c r="X18" s="110">
        <v>34.809475396825405</v>
      </c>
      <c r="Y18" s="110">
        <v>39.135669199999988</v>
      </c>
      <c r="Z18" s="110">
        <v>35.485248809523831</v>
      </c>
      <c r="AA18" s="110">
        <v>32.521615079365077</v>
      </c>
      <c r="AB18" s="188">
        <v>31.16</v>
      </c>
    </row>
    <row r="19" spans="2:28">
      <c r="B19" s="47"/>
      <c r="C19" s="30"/>
      <c r="D19" s="30"/>
      <c r="E19" s="187" t="s">
        <v>119</v>
      </c>
      <c r="F19" s="30"/>
      <c r="G19" s="30"/>
      <c r="H19" s="30"/>
      <c r="I19" s="30"/>
      <c r="J19" s="30"/>
      <c r="L19" s="2" t="s">
        <v>125</v>
      </c>
      <c r="M19" s="110">
        <v>3.637</v>
      </c>
      <c r="N19" s="110">
        <v>3.6640000000000001</v>
      </c>
      <c r="O19" s="110">
        <v>3.7469999999999999</v>
      </c>
      <c r="P19" s="110">
        <v>3.6539999999999999</v>
      </c>
      <c r="Q19" s="110">
        <v>4.0469999999999997</v>
      </c>
      <c r="R19" s="110">
        <v>5.4009999999999998</v>
      </c>
      <c r="S19" s="110">
        <v>6.343</v>
      </c>
      <c r="U19" s="2" t="s">
        <v>125</v>
      </c>
      <c r="V19" s="110">
        <v>12.967000000000001</v>
      </c>
      <c r="W19" s="110">
        <v>13.339</v>
      </c>
      <c r="X19" s="110">
        <v>16.257999999999999</v>
      </c>
      <c r="Y19" s="110">
        <v>15.303000000000001</v>
      </c>
      <c r="Z19" s="110">
        <v>14.917</v>
      </c>
      <c r="AA19" s="110">
        <v>15.048999999999999</v>
      </c>
      <c r="AB19" s="110">
        <v>14.733000000000001</v>
      </c>
    </row>
    <row r="20" spans="2:28">
      <c r="B20" s="187" t="s">
        <v>114</v>
      </c>
      <c r="C20" s="30"/>
      <c r="D20" s="30"/>
      <c r="E20" s="47" t="s">
        <v>166</v>
      </c>
      <c r="F20" s="127"/>
      <c r="G20" s="22">
        <f>F23</f>
        <v>9307.5610956404744</v>
      </c>
      <c r="H20" s="22">
        <f>G23</f>
        <v>9502.78518734106</v>
      </c>
      <c r="I20" s="22">
        <f>H23</f>
        <v>9700.4798096756531</v>
      </c>
      <c r="J20" s="22">
        <f>I23</f>
        <v>9902.6908113247155</v>
      </c>
      <c r="L20" s="2" t="s">
        <v>126</v>
      </c>
      <c r="M20" s="110">
        <v>1.0649999999999999</v>
      </c>
      <c r="N20" s="110">
        <v>1.1499999999999999</v>
      </c>
      <c r="O20" s="110">
        <v>1.1850000000000001</v>
      </c>
      <c r="P20" s="110">
        <v>1.264</v>
      </c>
      <c r="Q20" s="110">
        <v>1.393</v>
      </c>
      <c r="R20" s="110">
        <v>1.7110000000000001</v>
      </c>
      <c r="S20" s="110">
        <v>2.0659999999999998</v>
      </c>
      <c r="U20" s="2" t="s">
        <v>126</v>
      </c>
      <c r="V20" s="110">
        <v>3.77</v>
      </c>
      <c r="W20" s="110">
        <v>3.2730000000000001</v>
      </c>
      <c r="X20" s="110">
        <v>3.1480000000000001</v>
      </c>
      <c r="Y20" s="110">
        <v>3.6070000000000002</v>
      </c>
      <c r="Z20" s="110">
        <v>3.3479999999999999</v>
      </c>
      <c r="AA20" s="110">
        <v>2.294</v>
      </c>
      <c r="AB20" s="110">
        <v>2.903</v>
      </c>
    </row>
    <row r="21" spans="2:28">
      <c r="D21" s="30"/>
      <c r="E21" s="47" t="s">
        <v>160</v>
      </c>
      <c r="F21" s="127"/>
      <c r="G21" s="22">
        <f>Hydro!AB44</f>
        <v>780.89636680234298</v>
      </c>
      <c r="H21" s="22">
        <f>Hydro!AC44</f>
        <v>790.77848933837254</v>
      </c>
      <c r="I21" s="22">
        <f>Hydro!AD44</f>
        <v>808.84400659625385</v>
      </c>
      <c r="J21" s="22">
        <f>Hydro!AE44</f>
        <v>834.27169781443558</v>
      </c>
      <c r="L21" s="2" t="s">
        <v>111</v>
      </c>
      <c r="M21" s="110">
        <v>0.28000000000000003</v>
      </c>
      <c r="N21" s="110">
        <v>0.32300000000000001</v>
      </c>
      <c r="O21" s="110">
        <v>0.35599999999999998</v>
      </c>
      <c r="P21" s="110">
        <v>0.371</v>
      </c>
      <c r="Q21" s="110">
        <v>0.42</v>
      </c>
      <c r="R21" s="110">
        <v>0.39</v>
      </c>
      <c r="S21" s="110">
        <v>0.66600000000000004</v>
      </c>
      <c r="U21" s="2" t="s">
        <v>111</v>
      </c>
      <c r="V21" s="110">
        <v>0.99</v>
      </c>
      <c r="W21" s="110">
        <v>0.76</v>
      </c>
      <c r="X21" s="110">
        <v>0.86899999999999999</v>
      </c>
      <c r="Y21" s="110">
        <v>0.77100000000000002</v>
      </c>
      <c r="Z21" s="110">
        <v>0.39200000000000002</v>
      </c>
      <c r="AA21" s="110">
        <v>0.29899999999999999</v>
      </c>
      <c r="AB21" s="110">
        <v>0.436</v>
      </c>
    </row>
    <row r="22" spans="2:28">
      <c r="B22" s="47" t="s">
        <v>143</v>
      </c>
      <c r="C22" s="22">
        <f>C10*C16</f>
        <v>14320.678502454371</v>
      </c>
      <c r="D22" s="30"/>
      <c r="E22" s="47" t="s">
        <v>164</v>
      </c>
      <c r="F22" s="130"/>
      <c r="G22" s="24">
        <f>Hydro!AB64</f>
        <v>-585.67227510175724</v>
      </c>
      <c r="H22" s="24">
        <f>Hydro!AC64</f>
        <v>-593.08386700377946</v>
      </c>
      <c r="I22" s="24">
        <f>Hydro!AD64</f>
        <v>-606.63300494719033</v>
      </c>
      <c r="J22" s="24">
        <f>Hydro!AE64</f>
        <v>-625.70377336082674</v>
      </c>
      <c r="L22" s="2" t="s">
        <v>127</v>
      </c>
      <c r="M22" s="110">
        <v>0.13300000000000001</v>
      </c>
      <c r="N22" s="110">
        <v>0.193</v>
      </c>
      <c r="O22" s="110">
        <v>0.151</v>
      </c>
      <c r="P22" s="110">
        <v>0.17</v>
      </c>
      <c r="Q22" s="110">
        <v>0.18099999999999999</v>
      </c>
      <c r="R22" s="110">
        <v>0.19400000000000001</v>
      </c>
      <c r="S22" s="110">
        <v>0.214</v>
      </c>
      <c r="U22" s="2" t="s">
        <v>127</v>
      </c>
      <c r="V22" s="110">
        <v>0.30399999999999999</v>
      </c>
      <c r="W22" s="110">
        <v>0.30399999999999999</v>
      </c>
      <c r="X22" s="110">
        <v>0.39900000000000002</v>
      </c>
      <c r="Y22" s="110">
        <v>0.41799999999999998</v>
      </c>
      <c r="Z22" s="110">
        <v>0.41799999999999998</v>
      </c>
      <c r="AA22" s="110">
        <v>0.42</v>
      </c>
      <c r="AB22" s="110">
        <v>0.60499999999999998</v>
      </c>
    </row>
    <row r="23" spans="2:28">
      <c r="B23" s="47" t="s">
        <v>144</v>
      </c>
      <c r="C23" s="22">
        <f>C11*C17</f>
        <v>12469.620534061782</v>
      </c>
      <c r="D23" s="30"/>
      <c r="E23" s="47" t="s">
        <v>165</v>
      </c>
      <c r="F23" s="22">
        <f>Hydro!X114</f>
        <v>9307.5610956404744</v>
      </c>
      <c r="G23" s="22">
        <f>SUM(G20:G22)</f>
        <v>9502.78518734106</v>
      </c>
      <c r="H23" s="22">
        <f>SUM(H20:H22)</f>
        <v>9700.4798096756531</v>
      </c>
      <c r="I23" s="22">
        <f>SUM(I20:I22)</f>
        <v>9902.6908113247155</v>
      </c>
      <c r="J23" s="22">
        <f>SUM(J20:J22)</f>
        <v>10111.258735778325</v>
      </c>
      <c r="L23" s="2" t="s">
        <v>19</v>
      </c>
      <c r="M23" s="110">
        <v>5.6059999999999999</v>
      </c>
      <c r="N23" s="110">
        <v>5.8579999999999997</v>
      </c>
      <c r="O23" s="110">
        <v>5.7489999999999997</v>
      </c>
      <c r="P23" s="110">
        <v>5.7649999999999997</v>
      </c>
      <c r="Q23" s="110">
        <v>6.5119999999999996</v>
      </c>
      <c r="R23" s="110">
        <v>10.096</v>
      </c>
      <c r="S23" s="110">
        <v>10.881</v>
      </c>
      <c r="U23" s="2" t="s">
        <v>19</v>
      </c>
      <c r="V23" s="110">
        <v>12.868</v>
      </c>
      <c r="W23" s="110">
        <v>13.045999999999999</v>
      </c>
      <c r="X23" s="110">
        <v>17.135000000000002</v>
      </c>
      <c r="Y23" s="110">
        <v>17.006</v>
      </c>
      <c r="Z23" s="110">
        <v>17.027999999999999</v>
      </c>
      <c r="AA23" s="110">
        <v>19.895</v>
      </c>
      <c r="AB23" s="110">
        <v>22.675999999999998</v>
      </c>
    </row>
    <row r="24" spans="2:28">
      <c r="B24" s="47" t="s">
        <v>126</v>
      </c>
      <c r="C24" s="22">
        <f>C12*C18-10555</f>
        <v>11030.603305493209</v>
      </c>
      <c r="D24" s="30"/>
      <c r="E24" s="47"/>
      <c r="F24" s="30"/>
      <c r="G24" s="30"/>
      <c r="H24" s="30"/>
      <c r="I24" s="30"/>
      <c r="J24" s="30"/>
      <c r="L24" s="2" t="s">
        <v>103</v>
      </c>
      <c r="M24" s="110">
        <v>3.54</v>
      </c>
      <c r="N24" s="110">
        <v>4.0590000000000002</v>
      </c>
      <c r="O24" s="110">
        <v>4.6769999999999996</v>
      </c>
      <c r="P24" s="110">
        <v>5.41</v>
      </c>
      <c r="Q24" s="110">
        <v>6.3760000000000003</v>
      </c>
      <c r="R24" s="110">
        <v>9.1120000000000001</v>
      </c>
      <c r="S24" s="110">
        <v>9.7469999999999999</v>
      </c>
      <c r="U24" s="2" t="s">
        <v>103</v>
      </c>
      <c r="V24" s="110">
        <v>8.5589999999999993</v>
      </c>
      <c r="W24" s="110">
        <v>8.5449999999999999</v>
      </c>
      <c r="X24" s="110">
        <v>13.28</v>
      </c>
      <c r="Y24" s="110">
        <v>13.084</v>
      </c>
      <c r="Z24" s="110">
        <v>12.692</v>
      </c>
      <c r="AA24" s="110">
        <v>12.42</v>
      </c>
      <c r="AB24" s="110">
        <v>12.531000000000001</v>
      </c>
    </row>
    <row r="25" spans="2:28">
      <c r="B25" s="47"/>
      <c r="C25" s="198"/>
      <c r="D25" s="30"/>
      <c r="E25" s="2" t="s">
        <v>325</v>
      </c>
      <c r="F25" s="5">
        <f>Hydro!V106-Tax!C42</f>
        <v>-2309.5610956404744</v>
      </c>
      <c r="L25" s="2" t="s">
        <v>108</v>
      </c>
      <c r="M25" s="181">
        <v>12.16</v>
      </c>
      <c r="N25" s="181">
        <v>12.903</v>
      </c>
      <c r="O25" s="181">
        <v>13.561999999999999</v>
      </c>
      <c r="P25" s="181">
        <v>14.95</v>
      </c>
      <c r="Q25" s="181">
        <v>17.908000000000001</v>
      </c>
      <c r="R25" s="181">
        <v>26.628</v>
      </c>
      <c r="S25" s="181">
        <v>28.068999999999999</v>
      </c>
      <c r="U25" s="2" t="s">
        <v>108</v>
      </c>
      <c r="V25" s="181">
        <v>34.304000000000002</v>
      </c>
      <c r="W25" s="181">
        <v>34.805</v>
      </c>
      <c r="X25" s="181">
        <v>47.326000000000001</v>
      </c>
      <c r="Y25" s="181">
        <v>50.405999999999999</v>
      </c>
      <c r="Z25" s="181">
        <v>50.423999999999999</v>
      </c>
      <c r="AA25" s="181">
        <v>52.165999999999997</v>
      </c>
      <c r="AB25" s="181">
        <v>53.005000000000003</v>
      </c>
    </row>
    <row r="26" spans="2:28">
      <c r="B26" s="187" t="s">
        <v>148</v>
      </c>
      <c r="C26" s="30"/>
      <c r="D26" s="30"/>
      <c r="E26" s="2" t="s">
        <v>327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L26" s="2" t="s">
        <v>131</v>
      </c>
      <c r="M26" s="192">
        <v>170.2</v>
      </c>
      <c r="N26" s="192">
        <v>172.9</v>
      </c>
      <c r="O26" s="192">
        <v>181.6</v>
      </c>
      <c r="P26" s="192">
        <v>190</v>
      </c>
      <c r="Q26" s="192">
        <v>211.3</v>
      </c>
      <c r="R26" s="192">
        <v>233</v>
      </c>
      <c r="S26" s="192">
        <v>277.89999999999998</v>
      </c>
      <c r="U26" s="2" t="s">
        <v>131</v>
      </c>
      <c r="V26" s="192">
        <v>304</v>
      </c>
      <c r="W26" s="192">
        <v>304</v>
      </c>
      <c r="X26" s="192">
        <v>399</v>
      </c>
      <c r="Y26" s="192">
        <v>418</v>
      </c>
      <c r="Z26" s="192">
        <v>418</v>
      </c>
      <c r="AA26" s="192">
        <v>420</v>
      </c>
      <c r="AB26" s="192">
        <v>422</v>
      </c>
    </row>
    <row r="27" spans="2:28">
      <c r="D27" s="30"/>
      <c r="L27" s="193"/>
      <c r="M27" s="194"/>
      <c r="N27" s="195"/>
      <c r="O27" s="196"/>
      <c r="P27" s="5"/>
      <c r="Q27" s="181"/>
      <c r="T27" s="199"/>
      <c r="U27" s="200"/>
      <c r="V27" s="31"/>
    </row>
    <row r="28" spans="2:28">
      <c r="B28" s="47" t="s">
        <v>143</v>
      </c>
      <c r="C28" s="201">
        <f>1/3</f>
        <v>0.33333333333333331</v>
      </c>
      <c r="D28" s="30"/>
      <c r="E28" s="15" t="s">
        <v>326</v>
      </c>
      <c r="F28" s="17">
        <f>SUM(F23:F26)</f>
        <v>6998</v>
      </c>
      <c r="G28" s="17">
        <f>SUM(G23:G26)</f>
        <v>9502.78518734106</v>
      </c>
      <c r="H28" s="17">
        <f>SUM(H23:H26)</f>
        <v>9700.4798096756531</v>
      </c>
      <c r="I28" s="17">
        <f>SUM(I23:I26)</f>
        <v>9902.6908113247155</v>
      </c>
      <c r="J28" s="17">
        <f>SUM(J23:J26)</f>
        <v>10111.258735778325</v>
      </c>
      <c r="L28" s="193"/>
      <c r="M28" s="194"/>
      <c r="N28" s="195"/>
      <c r="O28" s="196"/>
      <c r="P28" s="5"/>
      <c r="Q28" s="181"/>
      <c r="T28" s="199"/>
      <c r="U28" s="200"/>
      <c r="V28" s="31"/>
      <c r="AB28" s="2"/>
    </row>
    <row r="29" spans="2:28">
      <c r="B29" s="47" t="s">
        <v>144</v>
      </c>
      <c r="C29" s="201">
        <f>C28</f>
        <v>0.33333333333333331</v>
      </c>
      <c r="D29" s="30"/>
      <c r="L29" s="285" t="s">
        <v>142</v>
      </c>
      <c r="M29" s="286">
        <v>2010</v>
      </c>
      <c r="N29" s="286">
        <v>2011</v>
      </c>
      <c r="O29" s="286">
        <v>2012</v>
      </c>
      <c r="P29" s="286">
        <v>2013</v>
      </c>
      <c r="Q29" s="287">
        <v>2014</v>
      </c>
      <c r="R29" s="286" t="s">
        <v>206</v>
      </c>
      <c r="S29" s="288"/>
      <c r="T29" s="20"/>
      <c r="U29" s="285" t="s">
        <v>129</v>
      </c>
      <c r="V29" s="286">
        <v>2010</v>
      </c>
      <c r="W29" s="286">
        <v>2011</v>
      </c>
      <c r="X29" s="286">
        <v>2012</v>
      </c>
      <c r="Y29" s="286">
        <v>2013</v>
      </c>
      <c r="Z29" s="287">
        <v>2014</v>
      </c>
      <c r="AA29" s="286" t="s">
        <v>206</v>
      </c>
    </row>
    <row r="30" spans="2:28">
      <c r="B30" s="47" t="s">
        <v>126</v>
      </c>
      <c r="C30" s="201">
        <f>C29</f>
        <v>0.33333333333333331</v>
      </c>
      <c r="D30" s="30"/>
      <c r="E30" s="47" t="s">
        <v>167</v>
      </c>
      <c r="F30" s="22">
        <f>-F28*F7</f>
        <v>-1049.7</v>
      </c>
      <c r="G30" s="22">
        <f>-G28*G7</f>
        <v>-1425.417778101159</v>
      </c>
      <c r="H30" s="22">
        <f>-H28*H7</f>
        <v>-1455.071971451348</v>
      </c>
      <c r="I30" s="22">
        <f>-I28*I7</f>
        <v>-1485.4036216987072</v>
      </c>
      <c r="J30" s="22">
        <f>-J23*J7</f>
        <v>0</v>
      </c>
      <c r="Q30" s="202"/>
      <c r="S30" s="199"/>
      <c r="U30" s="203" t="s">
        <v>120</v>
      </c>
      <c r="V30" s="42">
        <f>N9/(AVERAGE(M12:N12))</f>
        <v>0.1185194226602789</v>
      </c>
      <c r="W30" s="42">
        <f>O9/(AVERAGE(N12:O12))</f>
        <v>0.1377143969087927</v>
      </c>
      <c r="X30" s="42">
        <f>P9/(AVERAGE(O12:P12))</f>
        <v>0.11308058027550896</v>
      </c>
      <c r="Y30" s="42">
        <f>Q9/(AVERAGE(P12:Q12))</f>
        <v>9.1516908212560394E-2</v>
      </c>
      <c r="Z30" s="172">
        <f>R9/(AVERAGE(Q12:R12))</f>
        <v>0.13113016084572743</v>
      </c>
      <c r="AA30" s="42">
        <f>AVERAGE(V30:Z30)</f>
        <v>0.1183922937805737</v>
      </c>
    </row>
    <row r="31" spans="2:28">
      <c r="B31" s="47"/>
      <c r="C31" s="30"/>
      <c r="D31" s="30"/>
      <c r="E31" s="47"/>
      <c r="F31" s="190"/>
      <c r="G31" s="190"/>
      <c r="H31" s="190"/>
      <c r="I31" s="190"/>
      <c r="J31" s="190"/>
      <c r="L31" s="203" t="s">
        <v>120</v>
      </c>
      <c r="M31" s="204">
        <v>0.4700944849857433</v>
      </c>
      <c r="N31" s="204">
        <v>0.4134943383989847</v>
      </c>
      <c r="O31" s="204">
        <v>0.30146201687133434</v>
      </c>
      <c r="P31" s="204">
        <v>0.62102154373589413</v>
      </c>
      <c r="Q31" s="205">
        <v>0.31539622326595179</v>
      </c>
      <c r="R31" s="204">
        <f>AVERAGE(M31:Q31)</f>
        <v>0.42429372145158173</v>
      </c>
      <c r="S31" s="1"/>
      <c r="U31" s="203" t="s">
        <v>121</v>
      </c>
      <c r="V31" s="42">
        <f>N21/(AVERAGE(M24:N24))</f>
        <v>8.5011185682326629E-2</v>
      </c>
      <c r="W31" s="42">
        <f>O21/(AVERAGE(N24:O24))</f>
        <v>8.150183150183149E-2</v>
      </c>
      <c r="X31" s="42">
        <f>P21/(AVERAGE(O24:P24))</f>
        <v>7.356002775850104E-2</v>
      </c>
      <c r="Y31" s="42">
        <f>Q21/(AVERAGE(P24:Q24))</f>
        <v>7.1270999490921416E-2</v>
      </c>
      <c r="Z31" s="172">
        <f>R21/(AVERAGE(Q24:R24))</f>
        <v>5.036157024793389E-2</v>
      </c>
      <c r="AA31" s="42">
        <f>AVERAGE(V31:Z31)</f>
        <v>7.2341122936302876E-2</v>
      </c>
    </row>
    <row r="32" spans="2:28" ht="12.75" thickBot="1">
      <c r="B32" s="206" t="s">
        <v>147</v>
      </c>
      <c r="C32" s="279">
        <f>SUMPRODUCT(C28:C30,C22:C24)</f>
        <v>12606.967447336452</v>
      </c>
      <c r="D32" s="30"/>
      <c r="E32" s="187" t="s">
        <v>156</v>
      </c>
      <c r="F32" s="36">
        <f>F15+F30</f>
        <v>604.89049582398115</v>
      </c>
      <c r="G32" s="36">
        <f>G15+G30</f>
        <v>262.26452763930206</v>
      </c>
      <c r="H32" s="36">
        <f>H15+H30</f>
        <v>266.36398040392237</v>
      </c>
      <c r="I32" s="36">
        <f>I15+I30</f>
        <v>270.46104919366871</v>
      </c>
      <c r="J32" s="36">
        <f>J15+J30</f>
        <v>0</v>
      </c>
      <c r="L32" s="203" t="s">
        <v>121</v>
      </c>
      <c r="M32" s="204">
        <v>0.67086013542374634</v>
      </c>
      <c r="N32" s="204">
        <v>0.57066031244977533</v>
      </c>
      <c r="O32" s="204">
        <v>0.42042353549145439</v>
      </c>
      <c r="P32" s="204">
        <v>0.52716794821555091</v>
      </c>
      <c r="Q32" s="205">
        <v>0.20659889827256467</v>
      </c>
      <c r="R32" s="204">
        <f>AVERAGE(M32:Q32)</f>
        <v>0.47914216597061837</v>
      </c>
      <c r="S32" s="1"/>
      <c r="U32" s="203" t="s">
        <v>123</v>
      </c>
      <c r="V32" s="42">
        <f>W9/(AVERAGE(V12:W12))</f>
        <v>0.10667284876408127</v>
      </c>
      <c r="W32" s="42">
        <f>X9/(AVERAGE(W12:X12))</f>
        <v>0.10238263892208511</v>
      </c>
      <c r="X32" s="42">
        <f>Y9/(AVERAGE(X12:Y12))</f>
        <v>8.0466153247012021E-2</v>
      </c>
      <c r="Y32" s="42">
        <f>Z9/(AVERAGE(Y12:Z12))</f>
        <v>8.4217387645900921E-2</v>
      </c>
      <c r="Z32" s="172">
        <f>AA9/(AVERAGE(Z12:AA12))</f>
        <v>8.4444610756509622E-2</v>
      </c>
      <c r="AA32" s="42">
        <f>AVERAGE(V32:Z32)</f>
        <v>9.1636727867117782E-2</v>
      </c>
    </row>
    <row r="33" spans="1:27" ht="12.75" thickTop="1">
      <c r="B33" s="15"/>
      <c r="C33" s="20"/>
      <c r="D33" s="30"/>
      <c r="E33" s="47"/>
      <c r="F33" s="30"/>
      <c r="G33" s="30"/>
      <c r="H33" s="30"/>
      <c r="I33" s="30"/>
      <c r="J33" s="30"/>
      <c r="L33" s="203" t="s">
        <v>123</v>
      </c>
      <c r="M33" s="207">
        <v>0.72965023663602735</v>
      </c>
      <c r="N33" s="207">
        <v>0.69045499274907352</v>
      </c>
      <c r="O33" s="207">
        <v>0.48778790030945485</v>
      </c>
      <c r="P33" s="207">
        <v>0.87213543916764891</v>
      </c>
      <c r="Q33" s="205">
        <v>0.43593461017566143</v>
      </c>
      <c r="R33" s="207">
        <f>AVERAGE(M33:Q33)</f>
        <v>0.64319263580757324</v>
      </c>
      <c r="S33" s="1"/>
      <c r="U33" s="203" t="s">
        <v>122</v>
      </c>
      <c r="V33" s="42">
        <f>W21/(AVERAGE(V24:W24))</f>
        <v>8.8868101028999072E-2</v>
      </c>
      <c r="W33" s="42">
        <f>X21/(AVERAGE(W24:X24))</f>
        <v>7.9633447880870567E-2</v>
      </c>
      <c r="X33" s="42">
        <f>Y21/(AVERAGE(X24:Y24))</f>
        <v>5.8488848429676839E-2</v>
      </c>
      <c r="Y33" s="42">
        <f>Z21/(AVERAGE(Y24:Z24))</f>
        <v>3.0415890751086284E-2</v>
      </c>
      <c r="Z33" s="172">
        <f>AA21/(AVERAGE(Z24:AA24))</f>
        <v>2.3813316342784323E-2</v>
      </c>
      <c r="AA33" s="42">
        <f>AVERAGE(V33:Z33)</f>
        <v>5.6243920886683417E-2</v>
      </c>
    </row>
    <row r="34" spans="1:27">
      <c r="B34" s="281" t="s">
        <v>149</v>
      </c>
      <c r="C34" s="282">
        <f>IF(Province!C4=1,MAX(Valuation!C22:C24),MIN(Valuation!C22:C24))</f>
        <v>11030.603305493209</v>
      </c>
      <c r="D34" s="30"/>
      <c r="E34" s="278" t="s">
        <v>157</v>
      </c>
      <c r="F34" s="279">
        <f>SUM(F15:J15)</f>
        <v>6819.5734243120887</v>
      </c>
      <c r="G34" s="280"/>
      <c r="H34" s="278" t="s">
        <v>156</v>
      </c>
      <c r="I34" s="278"/>
      <c r="J34" s="279">
        <f>SUM(F32:J32)</f>
        <v>1403.9800530608743</v>
      </c>
      <c r="L34" s="203" t="s">
        <v>122</v>
      </c>
      <c r="M34" s="208">
        <v>0.61300185186280209</v>
      </c>
      <c r="N34" s="208">
        <v>0.67320375831210999</v>
      </c>
      <c r="O34" s="208">
        <v>0.36537802587607443</v>
      </c>
      <c r="P34" s="208">
        <v>0.59859590996220724</v>
      </c>
      <c r="Q34" s="209">
        <v>0.42772836578661533</v>
      </c>
      <c r="R34" s="208">
        <f>AVERAGE(M34:Q34)</f>
        <v>0.53558158235996189</v>
      </c>
      <c r="S34" s="1"/>
      <c r="U34" s="15" t="s">
        <v>136</v>
      </c>
      <c r="V34" s="210">
        <f t="shared" ref="V34:AA34" si="0">AVERAGE(V30:V33)</f>
        <v>9.9767889533921461E-2</v>
      </c>
      <c r="W34" s="210">
        <f t="shared" si="0"/>
        <v>0.10030807880339497</v>
      </c>
      <c r="X34" s="210">
        <f t="shared" si="0"/>
        <v>8.139890242767471E-2</v>
      </c>
      <c r="Y34" s="210">
        <f t="shared" si="0"/>
        <v>6.9355296525117252E-2</v>
      </c>
      <c r="Z34" s="211">
        <f t="shared" si="0"/>
        <v>7.2437414548238821E-2</v>
      </c>
      <c r="AA34" s="210">
        <f t="shared" si="0"/>
        <v>8.4653516367669435E-2</v>
      </c>
    </row>
    <row r="35" spans="1:27">
      <c r="A35" s="31"/>
      <c r="D35" s="198"/>
      <c r="L35" s="15" t="s">
        <v>136</v>
      </c>
      <c r="M35" s="212">
        <f t="shared" ref="M35:R35" si="1">AVERAGE(M31:M34)</f>
        <v>0.62090167722707978</v>
      </c>
      <c r="N35" s="212">
        <f t="shared" si="1"/>
        <v>0.58695335047748587</v>
      </c>
      <c r="O35" s="212">
        <f t="shared" si="1"/>
        <v>0.39376286963707952</v>
      </c>
      <c r="P35" s="212">
        <f t="shared" si="1"/>
        <v>0.6547302102703253</v>
      </c>
      <c r="Q35" s="213">
        <f t="shared" si="1"/>
        <v>0.34641452437519832</v>
      </c>
      <c r="R35" s="212">
        <f t="shared" si="1"/>
        <v>0.52055252639743377</v>
      </c>
      <c r="S35" s="1"/>
      <c r="U35" s="200" t="s">
        <v>207</v>
      </c>
      <c r="V35" s="42">
        <f>Hydro!J243</f>
        <v>0.10369330643038863</v>
      </c>
      <c r="W35" s="42">
        <f>Hydro!K243</f>
        <v>0.10309609971853639</v>
      </c>
      <c r="X35" s="42">
        <f>Hydro!L243</f>
        <v>0.11216501053899428</v>
      </c>
      <c r="Y35" s="42">
        <f>Hydro!M243</f>
        <v>0.11274131274131274</v>
      </c>
      <c r="Z35" s="172">
        <f>Hydro!R243</f>
        <v>9.7252961853925277E-2</v>
      </c>
      <c r="AA35" s="42">
        <f>AVERAGE(V35:Z35)</f>
        <v>0.10578973825663147</v>
      </c>
    </row>
    <row r="36" spans="1:27">
      <c r="A36" s="31"/>
      <c r="B36" s="214" t="s">
        <v>356</v>
      </c>
      <c r="C36" s="215"/>
      <c r="D36" s="198"/>
      <c r="E36" s="47"/>
      <c r="F36" s="30"/>
      <c r="G36" s="30"/>
      <c r="H36" s="30"/>
      <c r="I36" s="30"/>
      <c r="J36" s="30"/>
      <c r="L36" s="193"/>
      <c r="M36" s="195"/>
      <c r="N36" s="196"/>
      <c r="O36" s="5"/>
      <c r="P36" s="181"/>
      <c r="Q36" s="2"/>
      <c r="S36" s="199"/>
    </row>
    <row r="37" spans="1:27">
      <c r="A37" s="31"/>
      <c r="B37" s="216"/>
      <c r="C37" s="217"/>
      <c r="D37" s="198"/>
      <c r="E37" s="47"/>
      <c r="L37" s="285" t="s">
        <v>118</v>
      </c>
      <c r="M37" s="286">
        <v>2010</v>
      </c>
      <c r="N37" s="286">
        <v>2011</v>
      </c>
      <c r="O37" s="286">
        <v>2012</v>
      </c>
      <c r="P37" s="286">
        <v>2013</v>
      </c>
      <c r="Q37" s="287">
        <v>2014</v>
      </c>
      <c r="R37" s="289" t="s">
        <v>206</v>
      </c>
      <c r="S37" s="286" t="s">
        <v>205</v>
      </c>
      <c r="T37" s="20"/>
      <c r="U37" s="285" t="s">
        <v>130</v>
      </c>
      <c r="V37" s="286">
        <v>2010</v>
      </c>
      <c r="W37" s="286">
        <v>2011</v>
      </c>
      <c r="X37" s="286">
        <v>2012</v>
      </c>
      <c r="Y37" s="286">
        <v>2013</v>
      </c>
      <c r="Z37" s="287">
        <v>2014</v>
      </c>
      <c r="AA37" s="286" t="s">
        <v>206</v>
      </c>
    </row>
    <row r="38" spans="1:27">
      <c r="A38" s="31"/>
      <c r="B38" s="218" t="s">
        <v>82</v>
      </c>
      <c r="C38" s="217"/>
      <c r="D38" s="198"/>
      <c r="E38" s="47"/>
      <c r="F38" s="30"/>
      <c r="G38" s="30"/>
      <c r="H38" s="30"/>
      <c r="I38" s="30"/>
      <c r="J38" s="30"/>
      <c r="L38" s="193"/>
      <c r="M38" s="195"/>
      <c r="N38" s="196"/>
      <c r="O38" s="5"/>
      <c r="P38" s="181"/>
      <c r="Q38" s="202"/>
      <c r="R38" s="58"/>
      <c r="S38" s="1"/>
      <c r="U38" s="203" t="s">
        <v>120</v>
      </c>
      <c r="V38" s="42">
        <f>N9/(AVERAGE(M13:N13))</f>
        <v>3.3418514407647364E-2</v>
      </c>
      <c r="W38" s="42">
        <f>O9/(AVERAGE(N13:O13))</f>
        <v>3.7381061972277342E-2</v>
      </c>
      <c r="X38" s="42">
        <f>P9/(AVERAGE(O13:P13))</f>
        <v>3.209510892130539E-2</v>
      </c>
      <c r="Y38" s="42">
        <f>Q9/(AVERAGE(P13:Q13))</f>
        <v>2.8871007071445989E-2</v>
      </c>
      <c r="Z38" s="172">
        <f>R9/(AVERAGE(Q13:R13))</f>
        <v>4.6247035446445733E-2</v>
      </c>
      <c r="AA38" s="42">
        <f>AVERAGE(V38:Z38)</f>
        <v>3.5602545563824362E-2</v>
      </c>
    </row>
    <row r="39" spans="1:27">
      <c r="B39" s="216" t="s">
        <v>141</v>
      </c>
      <c r="C39" s="219">
        <f>Hydro!X44+Hydro!S44+Hydro!Q44+Hydro!P44-22.5-Hydro!V44</f>
        <v>733</v>
      </c>
      <c r="D39" s="30"/>
      <c r="E39" s="47"/>
      <c r="F39" s="22"/>
      <c r="G39" s="30"/>
      <c r="H39" s="22"/>
      <c r="I39" s="22"/>
      <c r="J39" s="22"/>
      <c r="L39" s="203" t="s">
        <v>120</v>
      </c>
      <c r="M39" s="42">
        <f>N10/(N6*(N14/1000))</f>
        <v>5.3319334745930126E-2</v>
      </c>
      <c r="N39" s="42">
        <f>O10/(O6*(O14/1000))</f>
        <v>4.8124250270836756E-2</v>
      </c>
      <c r="O39" s="42">
        <f>P10/(P6*(P14/1000))</f>
        <v>4.4663528497429987E-2</v>
      </c>
      <c r="P39" s="42">
        <f>Q10/(Q6*(Q14/1000))</f>
        <v>4.6017377639273695E-2</v>
      </c>
      <c r="Q39" s="172">
        <f>R10/(R6*(R14/1000))</f>
        <v>4.3988737289684512E-2</v>
      </c>
      <c r="R39" s="220">
        <f>AVERAGE(M39:Q39)</f>
        <v>4.7222645688631014E-2</v>
      </c>
      <c r="S39" s="42">
        <f>S10/(S6*(S14/1000))</f>
        <v>3.4529432888594232E-2</v>
      </c>
      <c r="U39" s="203" t="s">
        <v>121</v>
      </c>
      <c r="V39" s="42">
        <f>N21/(AVERAGE(M25:N25))</f>
        <v>2.5775046881857718E-2</v>
      </c>
      <c r="W39" s="42">
        <f>O21/(AVERAGE(N25:O25))</f>
        <v>2.6903457396561494E-2</v>
      </c>
      <c r="X39" s="42">
        <f>P21/(AVERAGE(O25:P25))</f>
        <v>2.6024130190796857E-2</v>
      </c>
      <c r="Y39" s="42">
        <f>Q21/(AVERAGE(P25:Q25))</f>
        <v>2.5564550489987212E-2</v>
      </c>
      <c r="Z39" s="172">
        <f>R21/(AVERAGE(Q25:R25))</f>
        <v>1.7513921322076523E-2</v>
      </c>
      <c r="AA39" s="42">
        <f>AVERAGE(V39:Z39)</f>
        <v>2.4356221256255962E-2</v>
      </c>
    </row>
    <row r="40" spans="1:27">
      <c r="B40" s="216" t="s">
        <v>103</v>
      </c>
      <c r="C40" s="219">
        <f>Hydro!X114</f>
        <v>9307.5610956404744</v>
      </c>
      <c r="D40" s="30"/>
      <c r="E40" s="47"/>
      <c r="F40" s="30"/>
      <c r="G40" s="30"/>
      <c r="H40" s="30"/>
      <c r="I40" s="30"/>
      <c r="J40" s="30"/>
      <c r="L40" s="203" t="s">
        <v>121</v>
      </c>
      <c r="M40" s="42">
        <f>N22/(N18*(N26/1000))</f>
        <v>4.5452855611362558E-2</v>
      </c>
      <c r="N40" s="42">
        <f>O22/(O18*(O26/1000))</f>
        <v>2.9507434162114165E-2</v>
      </c>
      <c r="O40" s="42">
        <f>P22/(P18*(P26/1000))</f>
        <v>3.0170647289465034E-2</v>
      </c>
      <c r="P40" s="42">
        <f>Q22/(Q18*(Q26/1000))</f>
        <v>2.8405215666540262E-2</v>
      </c>
      <c r="Q40" s="172">
        <f>R22/(R18*(R26/1000))</f>
        <v>2.5747766010326526E-2</v>
      </c>
      <c r="R40" s="220">
        <f>AVERAGE(M40:Q40)</f>
        <v>3.1856783747961706E-2</v>
      </c>
      <c r="S40" s="42">
        <f>S22/(S18*(S26/1000))</f>
        <v>2.0211579346032627E-2</v>
      </c>
      <c r="U40" s="203" t="s">
        <v>123</v>
      </c>
      <c r="V40" s="42">
        <f>W9/(AVERAGE(V13:W13))</f>
        <v>2.7579485468035188E-2</v>
      </c>
      <c r="W40" s="42">
        <f>X9/(AVERAGE(W13:X13))</f>
        <v>2.6551199326145136E-2</v>
      </c>
      <c r="X40" s="42">
        <f>Y9/(AVERAGE(X13:Y13))</f>
        <v>2.4258399736609124E-2</v>
      </c>
      <c r="Y40" s="42">
        <f>Z9/(AVERAGE(Y13:Z13))</f>
        <v>2.8296334718228223E-2</v>
      </c>
      <c r="Z40" s="172">
        <f>AA9/(AVERAGE(Z13:AA13))</f>
        <v>2.8730746875403401E-2</v>
      </c>
      <c r="AA40" s="42">
        <f>AVERAGE(V40:Z40)</f>
        <v>2.7083233224884214E-2</v>
      </c>
    </row>
    <row r="41" spans="1:27">
      <c r="B41" s="216" t="s">
        <v>126</v>
      </c>
      <c r="C41" s="219">
        <f>Hydro!X31+Hydro!S31+Hydro!Q31+Hydro!P31-33</f>
        <v>1957</v>
      </c>
      <c r="D41" s="30"/>
      <c r="E41" s="47"/>
      <c r="L41" s="203" t="s">
        <v>123</v>
      </c>
      <c r="M41" s="108">
        <f>W10/(W6*(W14/1000))</f>
        <v>4.3019349633787458E-2</v>
      </c>
      <c r="N41" s="108">
        <f>X10/(X6*(X14/1000))</f>
        <v>3.699460452508832E-2</v>
      </c>
      <c r="O41" s="108">
        <f>Y10/(Y6*(Y14/1000))</f>
        <v>4.0088395473823542E-2</v>
      </c>
      <c r="P41" s="108">
        <f>Z10/(Z6*(Z14/1000))</f>
        <v>3.7331042866359715E-2</v>
      </c>
      <c r="Q41" s="172">
        <f>AA10/(AA6*(AA14/1000))</f>
        <v>3.3725192859652711E-2</v>
      </c>
      <c r="R41" s="220">
        <f>AVERAGE(M41:Q41)</f>
        <v>3.8231717071742347E-2</v>
      </c>
      <c r="S41" s="108">
        <f>AB10/(AB6*(AB14/1000))</f>
        <v>3.1279643000198365E-2</v>
      </c>
      <c r="U41" s="203" t="s">
        <v>122</v>
      </c>
      <c r="V41" s="42">
        <f>W21/(AVERAGE(V25:W25))</f>
        <v>2.19942409816377E-2</v>
      </c>
      <c r="W41" s="42">
        <f>X21/(AVERAGE(W25:X25))</f>
        <v>2.116131545944893E-2</v>
      </c>
      <c r="X41" s="42">
        <f>Y21/(AVERAGE(X25:Y25))</f>
        <v>1.5777841443948757E-2</v>
      </c>
      <c r="Y41" s="42">
        <f>Z21/(AVERAGE(Y25:Z25))</f>
        <v>7.7754636516909658E-3</v>
      </c>
      <c r="Z41" s="172">
        <f>AA21/(AVERAGE(Z25:AA25))</f>
        <v>5.8290281703869771E-3</v>
      </c>
      <c r="AA41" s="42">
        <f>AVERAGE(V41:Z41)</f>
        <v>1.4507577941422666E-2</v>
      </c>
    </row>
    <row r="42" spans="1:27">
      <c r="B42" s="221"/>
      <c r="C42" s="222"/>
      <c r="D42" s="30"/>
      <c r="E42" s="47"/>
      <c r="F42" s="22"/>
      <c r="G42" s="22"/>
      <c r="H42" s="22"/>
      <c r="I42" s="22"/>
      <c r="J42" s="22"/>
      <c r="L42" s="203" t="s">
        <v>122</v>
      </c>
      <c r="M42" s="223">
        <f>W22/(W18*(W26/1000))</f>
        <v>3.3587155823784222E-2</v>
      </c>
      <c r="N42" s="223">
        <f>X22/(X18*(X26/1000))</f>
        <v>2.8727810132157271E-2</v>
      </c>
      <c r="O42" s="223">
        <f>Y22/(Y18*(Y26/1000))</f>
        <v>2.5552137485871849E-2</v>
      </c>
      <c r="P42" s="223">
        <f>Z22/(Z18*(Z26/1000))</f>
        <v>2.8180723921868388E-2</v>
      </c>
      <c r="Q42" s="224">
        <f>AA22/(AA18*(AA26/1000))</f>
        <v>3.0748780389892098E-2</v>
      </c>
      <c r="R42" s="225">
        <f>AVERAGE(M42:Q42)</f>
        <v>2.9359321550714766E-2</v>
      </c>
      <c r="S42" s="223">
        <f>AB22/(AB18*(AB26/1000))</f>
        <v>4.600928398907337E-2</v>
      </c>
      <c r="U42" s="15" t="s">
        <v>136</v>
      </c>
      <c r="V42" s="210">
        <f t="shared" ref="V42:AA42" si="2">AVERAGE(V38:V41)</f>
        <v>2.7191821934794493E-2</v>
      </c>
      <c r="W42" s="210">
        <f t="shared" si="2"/>
        <v>2.7999258538608227E-2</v>
      </c>
      <c r="X42" s="210">
        <f t="shared" si="2"/>
        <v>2.453887007316503E-2</v>
      </c>
      <c r="Y42" s="210">
        <f t="shared" si="2"/>
        <v>2.2626838982838095E-2</v>
      </c>
      <c r="Z42" s="211">
        <f t="shared" si="2"/>
        <v>2.458018295357816E-2</v>
      </c>
      <c r="AA42" s="210">
        <f t="shared" si="2"/>
        <v>2.5387394496596803E-2</v>
      </c>
    </row>
    <row r="43" spans="1:27">
      <c r="B43" s="216"/>
      <c r="C43" s="217"/>
      <c r="D43" s="30"/>
      <c r="E43" s="47"/>
      <c r="F43" s="30"/>
      <c r="G43" s="30"/>
      <c r="H43" s="30"/>
      <c r="I43" s="30"/>
      <c r="J43" s="30"/>
      <c r="L43" s="15" t="s">
        <v>136</v>
      </c>
      <c r="M43" s="226">
        <f t="shared" ref="M43:S43" si="3">AVERAGE(M39:M42)</f>
        <v>4.3844673953716086E-2</v>
      </c>
      <c r="N43" s="226">
        <f t="shared" si="3"/>
        <v>3.5838524772549125E-2</v>
      </c>
      <c r="O43" s="226">
        <f t="shared" si="3"/>
        <v>3.5118677186647601E-2</v>
      </c>
      <c r="P43" s="226">
        <f t="shared" si="3"/>
        <v>3.4983590023510515E-2</v>
      </c>
      <c r="Q43" s="227">
        <f t="shared" si="3"/>
        <v>3.355261913738896E-2</v>
      </c>
      <c r="R43" s="228">
        <f t="shared" si="3"/>
        <v>3.6667617014762455E-2</v>
      </c>
      <c r="S43" s="226">
        <f t="shared" si="3"/>
        <v>3.3007484805974645E-2</v>
      </c>
      <c r="U43" s="200" t="s">
        <v>207</v>
      </c>
      <c r="V43" s="42">
        <f>Hydro!J242</f>
        <v>3.5864914889097918E-2</v>
      </c>
      <c r="W43" s="42">
        <f>Hydro!K242</f>
        <v>3.5455500857348304E-2</v>
      </c>
      <c r="X43" s="42">
        <f>Hydro!L242</f>
        <v>3.7581658133023936E-2</v>
      </c>
      <c r="Y43" s="42">
        <f>Hydro!M242</f>
        <v>3.7845225751720238E-2</v>
      </c>
      <c r="Z43" s="172">
        <f>Hydro!R242</f>
        <v>3.3820033955857386E-2</v>
      </c>
      <c r="AA43" s="42">
        <f>AVERAGE(V43:Z43)</f>
        <v>3.6113466717409552E-2</v>
      </c>
    </row>
    <row r="44" spans="1:27">
      <c r="B44" s="218" t="s">
        <v>283</v>
      </c>
      <c r="C44" s="229"/>
      <c r="D44" s="30"/>
      <c r="E44" s="1"/>
      <c r="L44" s="193"/>
      <c r="M44" s="195"/>
      <c r="N44" s="5"/>
      <c r="O44" s="5"/>
      <c r="P44" s="181"/>
      <c r="Q44" s="2"/>
      <c r="S44" s="1"/>
    </row>
    <row r="45" spans="1:27">
      <c r="B45" s="216" t="s">
        <v>141</v>
      </c>
      <c r="C45" s="230">
        <f>C39-C10</f>
        <v>0</v>
      </c>
      <c r="L45" s="285" t="s">
        <v>128</v>
      </c>
      <c r="M45" s="286">
        <v>2010</v>
      </c>
      <c r="N45" s="286">
        <v>2011</v>
      </c>
      <c r="O45" s="286">
        <v>2012</v>
      </c>
      <c r="P45" s="286">
        <v>2013</v>
      </c>
      <c r="Q45" s="287">
        <v>2014</v>
      </c>
      <c r="R45" s="289" t="s">
        <v>206</v>
      </c>
      <c r="S45" s="286" t="s">
        <v>205</v>
      </c>
      <c r="T45" s="20"/>
      <c r="U45" s="285" t="s">
        <v>208</v>
      </c>
      <c r="V45" s="286">
        <v>2010</v>
      </c>
      <c r="W45" s="286">
        <v>2011</v>
      </c>
      <c r="X45" s="286">
        <v>2012</v>
      </c>
      <c r="Y45" s="286">
        <v>2013</v>
      </c>
      <c r="Z45" s="287">
        <v>2014</v>
      </c>
      <c r="AA45" s="286" t="s">
        <v>206</v>
      </c>
    </row>
    <row r="46" spans="1:27">
      <c r="B46" s="216" t="s">
        <v>103</v>
      </c>
      <c r="C46" s="230">
        <f>C40-C11</f>
        <v>-90.438904359523804</v>
      </c>
      <c r="F46" s="5"/>
      <c r="G46" s="87"/>
      <c r="H46" s="5"/>
      <c r="L46" s="193"/>
      <c r="M46" s="195"/>
      <c r="N46" s="196"/>
      <c r="O46" s="5"/>
      <c r="P46" s="181"/>
      <c r="Q46" s="202"/>
      <c r="R46" s="58"/>
      <c r="S46" s="1"/>
      <c r="U46" s="203" t="s">
        <v>120</v>
      </c>
      <c r="V46" s="31">
        <f>N11/(N11+N12)</f>
        <v>0.64522323571771478</v>
      </c>
      <c r="W46" s="31">
        <f>O11/(O11+O12)</f>
        <v>0.65134019041792524</v>
      </c>
      <c r="X46" s="31">
        <f>P11/(P11+P12)</f>
        <v>0.58349942401579846</v>
      </c>
      <c r="Y46" s="31">
        <f>Q11/(Q11+Q12)</f>
        <v>0.56090389657628714</v>
      </c>
      <c r="Z46" s="231">
        <f>R11/(R11+R12)</f>
        <v>0.49941909162140985</v>
      </c>
      <c r="AA46" s="31">
        <f>AVERAGE(V46:Z46)</f>
        <v>0.58807716766982698</v>
      </c>
    </row>
    <row r="47" spans="1:27">
      <c r="A47" s="5"/>
      <c r="B47" s="232" t="s">
        <v>126</v>
      </c>
      <c r="C47" s="233">
        <f>C41-C12</f>
        <v>0</v>
      </c>
      <c r="D47" s="5"/>
      <c r="G47" s="5"/>
      <c r="L47" s="203" t="s">
        <v>120</v>
      </c>
      <c r="M47" s="194">
        <f>(N6*(N14/1000))/N12</f>
        <v>1.3958332163396487</v>
      </c>
      <c r="N47" s="194">
        <f>(O6*(O14/1000))/O12</f>
        <v>1.7957209042579585</v>
      </c>
      <c r="O47" s="194">
        <f>(P6*(P14/1000))/P12</f>
        <v>1.6552876256387739</v>
      </c>
      <c r="P47" s="194">
        <f>(Q6*(Q14/1000))/Q12</f>
        <v>1.3921230654556442</v>
      </c>
      <c r="Q47" s="234">
        <f>(R6*(R14/1000))/R12</f>
        <v>1.2883762249175597</v>
      </c>
      <c r="R47" s="235">
        <f>AVERAGE(M47:Q47)</f>
        <v>1.505468207321917</v>
      </c>
      <c r="S47" s="194">
        <f>(S6*(S14/1000))/S12</f>
        <v>1.5928440000000001</v>
      </c>
      <c r="U47" s="203" t="s">
        <v>121</v>
      </c>
      <c r="V47" s="31">
        <f>N23/(N23+N24)</f>
        <v>0.59070283351820108</v>
      </c>
      <c r="W47" s="31">
        <f>O23/(O23+O24)</f>
        <v>0.55140993669671978</v>
      </c>
      <c r="X47" s="31">
        <f>P23/(P23+P24)</f>
        <v>0.51588366890380311</v>
      </c>
      <c r="Y47" s="31">
        <f>Q23/(Q23+Q24)</f>
        <v>0.50527622594661703</v>
      </c>
      <c r="Z47" s="231">
        <f>R23/(R23+R24)</f>
        <v>0.52561432736359859</v>
      </c>
      <c r="AA47" s="31">
        <f>AVERAGE(V47:Z47)</f>
        <v>0.53777739848578787</v>
      </c>
    </row>
    <row r="48" spans="1:27">
      <c r="G48" s="5"/>
      <c r="L48" s="203" t="s">
        <v>121</v>
      </c>
      <c r="M48" s="194">
        <f>(N18*(N26/1000))/N24</f>
        <v>1.0461093514412412</v>
      </c>
      <c r="N48" s="194">
        <f>(O18*(O26/1000))/O24</f>
        <v>1.0941531892985255</v>
      </c>
      <c r="O48" s="194">
        <f>(P18*(P26/1000))/P24</f>
        <v>1.0415185959334567</v>
      </c>
      <c r="P48" s="194">
        <f>(Q18*(Q26/1000))/Q24</f>
        <v>0.99938350135552945</v>
      </c>
      <c r="Q48" s="234">
        <f>(R18*(R26/1000))/R24</f>
        <v>0.82689138102380277</v>
      </c>
      <c r="R48" s="235">
        <f>AVERAGE(M48:Q48)</f>
        <v>1.0016112038105109</v>
      </c>
      <c r="S48" s="194">
        <f>(S18*(S26/1000))/S24</f>
        <v>1.0862819329024316</v>
      </c>
      <c r="U48" s="203" t="s">
        <v>123</v>
      </c>
      <c r="V48" s="31">
        <f>W11/(W11+W12)</f>
        <v>0.55093600951014932</v>
      </c>
      <c r="W48" s="31">
        <f>X11/(X11+X12)</f>
        <v>0.55178749070382405</v>
      </c>
      <c r="X48" s="31">
        <f>Y11/(Y11+Y12)</f>
        <v>0.4615470798953249</v>
      </c>
      <c r="Y48" s="31">
        <f>Z11/(Z11+Z12)</f>
        <v>0.4623926837067619</v>
      </c>
      <c r="Z48" s="231">
        <f>AA11/(AA11+AA12)</f>
        <v>0.46902778499212766</v>
      </c>
      <c r="AA48" s="31">
        <f>AVERAGE(V48:Z48)</f>
        <v>0.49913820976163759</v>
      </c>
    </row>
    <row r="49" spans="12:28">
      <c r="L49" s="203" t="s">
        <v>123</v>
      </c>
      <c r="M49" s="194">
        <f>(W6*(W14/1000))/W12</f>
        <v>1.1011726184615513</v>
      </c>
      <c r="N49" s="194">
        <f>(X6*(X14/1000))/X12</f>
        <v>1.3106012035069698</v>
      </c>
      <c r="O49" s="194">
        <f>(Y6*(Y14/1000))/Y12</f>
        <v>1.0128234017057522</v>
      </c>
      <c r="P49" s="194">
        <f>(Z6*(Z14/1000))/Z12</f>
        <v>1.2896605729200212</v>
      </c>
      <c r="Q49" s="234">
        <f>(AA6*(AA14/1000))/AA12</f>
        <v>1.4123903642999045</v>
      </c>
      <c r="R49" s="235">
        <f>AVERAGE(M49:Q49)</f>
        <v>1.2253296321788398</v>
      </c>
      <c r="S49" s="194">
        <f>(AB6*(AB14/1000))/AB12</f>
        <v>1.5788656053019143</v>
      </c>
      <c r="U49" s="203" t="s">
        <v>122</v>
      </c>
      <c r="V49" s="31">
        <f>W23/(W23+W24)</f>
        <v>0.60423324533370382</v>
      </c>
      <c r="W49" s="31">
        <f>X23/(X23+X24)</f>
        <v>0.56337333552523428</v>
      </c>
      <c r="X49" s="31">
        <f>Y23/(Y23+Y24)</f>
        <v>0.56517115320704558</v>
      </c>
      <c r="Y49" s="31">
        <f>Z23/(Z23+Z24)</f>
        <v>0.57294751009421263</v>
      </c>
      <c r="Z49" s="231">
        <f>AA23/(AA23+AA24)</f>
        <v>0.61565836298932386</v>
      </c>
      <c r="AA49" s="31">
        <f>AVERAGE(V49:Z49)</f>
        <v>0.58427672142990406</v>
      </c>
    </row>
    <row r="50" spans="12:28">
      <c r="L50" s="203" t="s">
        <v>122</v>
      </c>
      <c r="M50" s="236">
        <f>(W18*(W26/1000))/W24</f>
        <v>1.0592251583122039</v>
      </c>
      <c r="N50" s="236">
        <f>(X18*(X26/1000))/X24</f>
        <v>1.045856979166667</v>
      </c>
      <c r="O50" s="236">
        <f>(Y18*(Y26/1000))/Y24</f>
        <v>1.2502835314582692</v>
      </c>
      <c r="P50" s="236">
        <f>(Z18*(Z26/1000))/Z24</f>
        <v>1.1686758589962938</v>
      </c>
      <c r="Q50" s="237">
        <f>(AA18*(AA26/1000))/AA24</f>
        <v>1.0997647611379495</v>
      </c>
      <c r="R50" s="238">
        <f>AVERAGE(M50:Q50)</f>
        <v>1.1247612578142767</v>
      </c>
      <c r="S50" s="236">
        <f>(AB18*(AB26/1000))/AB24</f>
        <v>1.0493591892107572</v>
      </c>
      <c r="U50" s="15" t="s">
        <v>136</v>
      </c>
      <c r="V50" s="239">
        <f t="shared" ref="V50:AA50" si="4">AVERAGE(V46:V49)</f>
        <v>0.59777383101994219</v>
      </c>
      <c r="W50" s="239">
        <f t="shared" si="4"/>
        <v>0.57947773833592586</v>
      </c>
      <c r="X50" s="239">
        <f t="shared" si="4"/>
        <v>0.53152533150549308</v>
      </c>
      <c r="Y50" s="239">
        <f t="shared" si="4"/>
        <v>0.52538007908096973</v>
      </c>
      <c r="Z50" s="240">
        <f t="shared" si="4"/>
        <v>0.52742989174161503</v>
      </c>
      <c r="AA50" s="239">
        <f t="shared" si="4"/>
        <v>0.55231737433678907</v>
      </c>
    </row>
    <row r="51" spans="12:28">
      <c r="L51" s="15" t="s">
        <v>136</v>
      </c>
      <c r="M51" s="241">
        <f t="shared" ref="M51:S51" si="5">AVERAGE(M47:M50)</f>
        <v>1.1505850861386613</v>
      </c>
      <c r="N51" s="241">
        <f t="shared" si="5"/>
        <v>1.3115830690575301</v>
      </c>
      <c r="O51" s="241">
        <f t="shared" si="5"/>
        <v>1.2399782886840629</v>
      </c>
      <c r="P51" s="241">
        <f t="shared" si="5"/>
        <v>1.2124607496818722</v>
      </c>
      <c r="Q51" s="242">
        <f t="shared" si="5"/>
        <v>1.156855682844804</v>
      </c>
      <c r="R51" s="243">
        <f t="shared" si="5"/>
        <v>1.214292575281386</v>
      </c>
      <c r="S51" s="241">
        <f t="shared" si="5"/>
        <v>1.3268376818537757</v>
      </c>
      <c r="U51" s="200" t="s">
        <v>207</v>
      </c>
      <c r="V51" s="10">
        <f>Hydro!J238</f>
        <v>0.56530271095283091</v>
      </c>
      <c r="W51" s="10">
        <f>Hydro!K238</f>
        <v>0.55563205728449461</v>
      </c>
      <c r="X51" s="10">
        <f>Hydro!L238</f>
        <v>0.55574346298946276</v>
      </c>
      <c r="Y51" s="10">
        <f>Hydro!M238</f>
        <v>0.55123161653452768</v>
      </c>
      <c r="Z51" s="177">
        <f>Hydro!R238</f>
        <v>0.52954061094008997</v>
      </c>
      <c r="AA51" s="244">
        <f>AVERAGE(V51:Z51)</f>
        <v>0.55149009174028119</v>
      </c>
    </row>
    <row r="52" spans="12:28">
      <c r="L52" s="193"/>
      <c r="M52" s="195"/>
      <c r="N52" s="196"/>
      <c r="O52" s="5"/>
      <c r="P52" s="181"/>
      <c r="Q52" s="2"/>
      <c r="S52" s="1"/>
    </row>
    <row r="53" spans="12:28">
      <c r="L53" s="285" t="s">
        <v>140</v>
      </c>
      <c r="M53" s="286">
        <v>2010</v>
      </c>
      <c r="N53" s="286">
        <v>2011</v>
      </c>
      <c r="O53" s="286">
        <v>2012</v>
      </c>
      <c r="P53" s="286">
        <v>2013</v>
      </c>
      <c r="Q53" s="287">
        <v>2014</v>
      </c>
      <c r="R53" s="289" t="s">
        <v>206</v>
      </c>
      <c r="S53" s="286" t="s">
        <v>205</v>
      </c>
      <c r="T53" s="20"/>
      <c r="U53" s="285" t="s">
        <v>137</v>
      </c>
      <c r="V53" s="286">
        <v>2010</v>
      </c>
      <c r="W53" s="286">
        <v>2011</v>
      </c>
      <c r="X53" s="286">
        <v>2012</v>
      </c>
      <c r="Y53" s="286">
        <v>2013</v>
      </c>
      <c r="Z53" s="287">
        <v>2014</v>
      </c>
      <c r="AA53" s="286" t="s">
        <v>206</v>
      </c>
      <c r="AB53" s="286" t="s">
        <v>139</v>
      </c>
    </row>
    <row r="54" spans="12:28">
      <c r="L54" s="193"/>
      <c r="M54" s="195"/>
      <c r="N54" s="196"/>
      <c r="O54" s="5"/>
      <c r="P54" s="181"/>
      <c r="Q54" s="202"/>
      <c r="R54" s="58"/>
      <c r="S54" s="1"/>
      <c r="U54" s="203" t="s">
        <v>120</v>
      </c>
      <c r="V54" s="42">
        <f>N7/M7-1</f>
        <v>9.5939952234731951E-2</v>
      </c>
      <c r="W54" s="42">
        <f>O7/N7-1</f>
        <v>0.28534960463233938</v>
      </c>
      <c r="X54" s="42">
        <f>P7/O7-1</f>
        <v>-2.8095330362334359E-3</v>
      </c>
      <c r="Y54" s="42">
        <f>Q7/P7-1</f>
        <v>8.3357621684640115E-2</v>
      </c>
      <c r="Z54" s="172">
        <f>R7/Q7-1</f>
        <v>0.33257106985920548</v>
      </c>
      <c r="AA54" s="42">
        <f>AVERAGE(V54:Z54)</f>
        <v>0.15888174307493669</v>
      </c>
      <c r="AB54" s="42">
        <f>(R7/M7)^(1/5)-1</f>
        <v>0.151886461336604</v>
      </c>
    </row>
    <row r="55" spans="12:28">
      <c r="L55" s="203" t="s">
        <v>120</v>
      </c>
      <c r="M55" s="194">
        <f>(N6*(N14/1000))/N9</f>
        <v>12.7479391992791</v>
      </c>
      <c r="N55" s="194">
        <f>(O6*(O14/1000))/O9</f>
        <v>13.22105859142204</v>
      </c>
      <c r="O55" s="194">
        <f>(P6*(P14/1000))/P9</f>
        <v>16.258793245709352</v>
      </c>
      <c r="P55" s="194">
        <f>(Q6*(Q14/1000))/Q9</f>
        <v>17.032343518741943</v>
      </c>
      <c r="Q55" s="234">
        <f>(R6*(R14/1000))/R9</f>
        <v>11.027833827233833</v>
      </c>
      <c r="R55" s="235">
        <f>AVERAGE(M55:Q55)</f>
        <v>14.057593676477254</v>
      </c>
      <c r="S55" s="194">
        <f>(S6*(S14/1000))/S9</f>
        <v>15.888718204488779</v>
      </c>
      <c r="U55" s="203" t="s">
        <v>121</v>
      </c>
      <c r="V55" s="42">
        <f>N19/M19-1</f>
        <v>7.4237008523507786E-3</v>
      </c>
      <c r="W55" s="42">
        <f>O19/N19-1</f>
        <v>2.265283842794763E-2</v>
      </c>
      <c r="X55" s="42">
        <f>P19/O19-1</f>
        <v>-2.4819855884707809E-2</v>
      </c>
      <c r="Y55" s="42">
        <f>Q19/P19-1</f>
        <v>0.10755336617405575</v>
      </c>
      <c r="Z55" s="172">
        <f>R19/Q19-1</f>
        <v>0.33456881640721536</v>
      </c>
      <c r="AA55" s="42">
        <f>AVERAGE(V55:Z55)</f>
        <v>8.9475773195372338E-2</v>
      </c>
      <c r="AB55" s="42">
        <f>(R19/M19)^(1/5)-1</f>
        <v>8.2296303737750875E-2</v>
      </c>
    </row>
    <row r="56" spans="12:28">
      <c r="L56" s="203" t="s">
        <v>121</v>
      </c>
      <c r="M56" s="194">
        <f>(N18*(N26/1000))/N21</f>
        <v>13.145999558823524</v>
      </c>
      <c r="N56" s="194">
        <f>(O18*(O26/1000))/O21</f>
        <v>14.374591197610123</v>
      </c>
      <c r="O56" s="194">
        <f>(P18*(P26/1000))/P21</f>
        <v>15.187643137466312</v>
      </c>
      <c r="P56" s="194">
        <f>(Q18*(Q26/1000))/Q21</f>
        <v>15.171593344387754</v>
      </c>
      <c r="Q56" s="234">
        <f>(R18*(R26/1000))/R21</f>
        <v>19.319575035612541</v>
      </c>
      <c r="R56" s="235">
        <f>AVERAGE(M56:Q56)</f>
        <v>15.439880454780049</v>
      </c>
      <c r="S56" s="194">
        <f>(S18*(S26/1000))/S21</f>
        <v>15.897882882882881</v>
      </c>
      <c r="U56" s="203" t="s">
        <v>123</v>
      </c>
      <c r="V56" s="42">
        <f>W7/V7-1</f>
        <v>-9.950730131649832E-2</v>
      </c>
      <c r="W56" s="42">
        <f>X7/W7-1</f>
        <v>-8.8300378488524345E-2</v>
      </c>
      <c r="X56" s="42">
        <f>Y7/X7-1</f>
        <v>0.40489674867550285</v>
      </c>
      <c r="Y56" s="42">
        <f>Z7/Y7-1</f>
        <v>0.16376344941261145</v>
      </c>
      <c r="Z56" s="172">
        <f>AA7/Z7-1</f>
        <v>6.0353333504994611E-2</v>
      </c>
      <c r="AA56" s="42">
        <f>AVERAGE(V56:Z56)</f>
        <v>8.8241170357617249E-2</v>
      </c>
      <c r="AB56" s="42">
        <f>(AA7/V7)^(1/5)-1</f>
        <v>7.3144834285455929E-2</v>
      </c>
    </row>
    <row r="57" spans="12:28">
      <c r="L57" s="203" t="s">
        <v>123</v>
      </c>
      <c r="M57" s="245">
        <f>(W6*(W14/1000))/W9</f>
        <v>10.64878993607782</v>
      </c>
      <c r="N57" s="245">
        <f>(X6*(X14/1000))/X9</f>
        <v>13.130685224390502</v>
      </c>
      <c r="O57" s="245">
        <f>(Y6*(Y14/1000))/Y9</f>
        <v>17.549998223007403</v>
      </c>
      <c r="P57" s="245">
        <f>(Z6*(Z14/1000))/Z9</f>
        <v>15.617715134160644</v>
      </c>
      <c r="Q57" s="234">
        <f>(AA6*(AA14/1000))/AA9</f>
        <v>17.037545262346672</v>
      </c>
      <c r="R57" s="235">
        <f>AVERAGE(M57:Q57)</f>
        <v>14.796946755996609</v>
      </c>
      <c r="S57" s="245">
        <f>(AB6*(AB14/1000))/AB9</f>
        <v>16.202263163727959</v>
      </c>
      <c r="U57" s="203" t="s">
        <v>122</v>
      </c>
      <c r="V57" s="42">
        <f>W19/V19-1</f>
        <v>2.8688208529343617E-2</v>
      </c>
      <c r="W57" s="42">
        <f>X19/W19-1</f>
        <v>0.21883199640152928</v>
      </c>
      <c r="X57" s="42">
        <f>Y19/X19-1</f>
        <v>-5.8740312461557309E-2</v>
      </c>
      <c r="Y57" s="42">
        <f>Z19/Y19-1</f>
        <v>-2.5223812324380868E-2</v>
      </c>
      <c r="Z57" s="172">
        <f>AA19/Z19-1</f>
        <v>8.8489642689548731E-3</v>
      </c>
      <c r="AA57" s="42">
        <f>AVERAGE(V57:Z57)</f>
        <v>3.4481008882777921E-2</v>
      </c>
      <c r="AB57" s="42">
        <f>(AA19/V19)^(1/5)-1</f>
        <v>3.022865736712288E-2</v>
      </c>
    </row>
    <row r="58" spans="12:28">
      <c r="L58" s="203" t="s">
        <v>122</v>
      </c>
      <c r="M58" s="236">
        <f>(W18*(W26/1000))/W21</f>
        <v>11.909314444444451</v>
      </c>
      <c r="N58" s="236">
        <f>(X18*(X26/1000))/X21</f>
        <v>15.982716551591873</v>
      </c>
      <c r="O58" s="236">
        <f>(Y18*(Y26/1000))/Y21</f>
        <v>21.217522341893634</v>
      </c>
      <c r="P58" s="236">
        <f>(Z18*(Z26/1000))/Z21</f>
        <v>37.838862250971836</v>
      </c>
      <c r="Q58" s="237">
        <f>(AA18*(AA26/1000))/AA21</f>
        <v>45.682536231884058</v>
      </c>
      <c r="R58" s="238">
        <f>AVERAGE(M58:Q58)</f>
        <v>26.526190364157173</v>
      </c>
      <c r="S58" s="236">
        <f>(AB18*(AB26/1000))/AB21</f>
        <v>30.159449541284403</v>
      </c>
      <c r="U58" s="15" t="s">
        <v>136</v>
      </c>
      <c r="V58" s="210">
        <f t="shared" ref="V58:AB58" si="6">AVERAGE(V54:V57)</f>
        <v>8.1361400749820068E-3</v>
      </c>
      <c r="W58" s="210">
        <f t="shared" si="6"/>
        <v>0.10963351524332299</v>
      </c>
      <c r="X58" s="210">
        <f t="shared" si="6"/>
        <v>7.9631761823251074E-2</v>
      </c>
      <c r="Y58" s="210">
        <f t="shared" si="6"/>
        <v>8.2362656236731613E-2</v>
      </c>
      <c r="Z58" s="211">
        <f t="shared" si="6"/>
        <v>0.18408554601009258</v>
      </c>
      <c r="AA58" s="210">
        <f t="shared" si="6"/>
        <v>9.2769923877676047E-2</v>
      </c>
      <c r="AB58" s="210">
        <f t="shared" si="6"/>
        <v>8.438906418173342E-2</v>
      </c>
    </row>
    <row r="59" spans="12:28">
      <c r="L59" s="15" t="s">
        <v>136</v>
      </c>
      <c r="M59" s="241">
        <f t="shared" ref="M59:S59" si="7">AVERAGE(M55:M58)</f>
        <v>12.113010784656225</v>
      </c>
      <c r="N59" s="241">
        <f t="shared" si="7"/>
        <v>14.177262891253633</v>
      </c>
      <c r="O59" s="241">
        <f t="shared" si="7"/>
        <v>17.553489237019178</v>
      </c>
      <c r="P59" s="241">
        <f t="shared" si="7"/>
        <v>21.415128562065547</v>
      </c>
      <c r="Q59" s="242">
        <f t="shared" si="7"/>
        <v>23.266872589269276</v>
      </c>
      <c r="R59" s="243">
        <f t="shared" si="7"/>
        <v>17.705152812852774</v>
      </c>
      <c r="S59" s="241">
        <f t="shared" si="7"/>
        <v>19.537078448096004</v>
      </c>
      <c r="U59" s="200" t="s">
        <v>207</v>
      </c>
      <c r="V59" s="42">
        <f>Hydro!J11/Hydro!I11-1</f>
        <v>8.0101180438448605E-2</v>
      </c>
      <c r="W59" s="42">
        <f>Hydro!K11/Hydro!J11-1</f>
        <v>6.7720530835284842E-2</v>
      </c>
      <c r="X59" s="42">
        <f>Hydro!L11/Hydro!K11-1</f>
        <v>4.6974958874063333E-2</v>
      </c>
      <c r="Y59" s="42">
        <f>Hydro!M11/Hydro!L11-1</f>
        <v>6.0405027932960875E-2</v>
      </c>
      <c r="Z59" s="172">
        <f>(Hydro!R11/Hydro!M11)-1</f>
        <v>7.8037537043134764E-2</v>
      </c>
      <c r="AA59" s="42">
        <f>AVERAGE(V59:Z59)</f>
        <v>6.6647847024778481E-2</v>
      </c>
      <c r="AB59" s="42">
        <f>(Hydro!R11/Hydro!I11)^(1/5)-1</f>
        <v>6.6578433969553874E-2</v>
      </c>
    </row>
    <row r="60" spans="12:28">
      <c r="L60" s="193"/>
      <c r="M60" s="195"/>
      <c r="N60" s="196"/>
      <c r="O60" s="5"/>
      <c r="P60" s="181"/>
      <c r="Q60" s="2"/>
      <c r="S60" s="1"/>
    </row>
    <row r="61" spans="12:28">
      <c r="L61" s="285" t="s">
        <v>6</v>
      </c>
      <c r="M61" s="286">
        <v>2010</v>
      </c>
      <c r="N61" s="286">
        <v>2011</v>
      </c>
      <c r="O61" s="286">
        <v>2012</v>
      </c>
      <c r="P61" s="286">
        <v>2013</v>
      </c>
      <c r="Q61" s="287">
        <v>2014</v>
      </c>
      <c r="R61" s="289" t="s">
        <v>206</v>
      </c>
      <c r="S61" s="286" t="s">
        <v>205</v>
      </c>
      <c r="T61" s="20"/>
      <c r="U61" s="285" t="s">
        <v>138</v>
      </c>
      <c r="V61" s="286">
        <v>2010</v>
      </c>
      <c r="W61" s="286">
        <v>2011</v>
      </c>
      <c r="X61" s="286">
        <v>2012</v>
      </c>
      <c r="Y61" s="286">
        <v>2013</v>
      </c>
      <c r="Z61" s="287">
        <v>2014</v>
      </c>
      <c r="AA61" s="286" t="s">
        <v>206</v>
      </c>
      <c r="AB61" s="286" t="s">
        <v>139</v>
      </c>
    </row>
    <row r="62" spans="12:28">
      <c r="L62" s="193"/>
      <c r="M62" s="195"/>
      <c r="N62" s="196"/>
      <c r="O62" s="5"/>
      <c r="P62" s="181"/>
      <c r="Q62" s="202"/>
      <c r="R62" s="58"/>
      <c r="S62" s="1"/>
      <c r="U62" s="203" t="s">
        <v>120</v>
      </c>
      <c r="V62" s="42">
        <f>N9/M9-1</f>
        <v>0.10529311326124069</v>
      </c>
      <c r="W62" s="42">
        <f>O9/N9-1</f>
        <v>0.27548918640576714</v>
      </c>
      <c r="X62" s="42">
        <f>P9/O9-1</f>
        <v>-6.3786838918045929E-2</v>
      </c>
      <c r="Y62" s="42">
        <f>Q9/P9-1</f>
        <v>2.1129797326433941E-2</v>
      </c>
      <c r="Z62" s="172">
        <f>R9/Q9-1</f>
        <v>0.82812499999999978</v>
      </c>
      <c r="AA62" s="42">
        <f>AVERAGE(V62:Z62)</f>
        <v>0.23325005161507911</v>
      </c>
      <c r="AB62" s="42">
        <f>(R9/M9)^(1/5)-1</f>
        <v>0.19763137480966031</v>
      </c>
    </row>
    <row r="63" spans="12:28">
      <c r="L63" s="203" t="s">
        <v>120</v>
      </c>
      <c r="M63" s="246">
        <f>((N6*(N14/1000))+N11)/N8</f>
        <v>10.137357383534852</v>
      </c>
      <c r="N63" s="246">
        <f>((O6*(O14/1000))+O11)/O8</f>
        <v>11.774019758758131</v>
      </c>
      <c r="O63" s="246">
        <f>((P6*(P14/1000))+P11)/P8</f>
        <v>11.143771656283015</v>
      </c>
      <c r="P63" s="246">
        <f>((Q6*(Q14/1000))+Q11)/Q8</f>
        <v>10.971994531476938</v>
      </c>
      <c r="Q63" s="247">
        <f>((R6*(R14/1000))+R11)/R8</f>
        <v>8.5022074313053544</v>
      </c>
      <c r="R63" s="248">
        <f>AVERAGE(M63:Q63)</f>
        <v>10.505870152271658</v>
      </c>
      <c r="S63" s="246">
        <f>((S6*(S14/1000))+S11)/S8</f>
        <v>11.119389450056119</v>
      </c>
      <c r="U63" s="203" t="s">
        <v>121</v>
      </c>
      <c r="V63" s="42">
        <f>N21/M21-1</f>
        <v>0.15357142857142847</v>
      </c>
      <c r="W63" s="42">
        <f>O21/N21-1</f>
        <v>0.10216718266253855</v>
      </c>
      <c r="X63" s="42">
        <f>P21/O21-1</f>
        <v>4.2134831460674205E-2</v>
      </c>
      <c r="Y63" s="42">
        <f>Q21/P21-1</f>
        <v>0.13207547169811318</v>
      </c>
      <c r="Z63" s="172">
        <f>R21/Q21-1</f>
        <v>-7.1428571428571397E-2</v>
      </c>
      <c r="AA63" s="42">
        <f>AVERAGE(V63:Z63)</f>
        <v>7.1704068592836595E-2</v>
      </c>
      <c r="AB63" s="42">
        <f>(R21/M21)^(1/5)-1</f>
        <v>6.8516702296210097E-2</v>
      </c>
    </row>
    <row r="64" spans="12:28">
      <c r="L64" s="203" t="s">
        <v>121</v>
      </c>
      <c r="M64" s="246">
        <f>((N18*(N26/1000))+N23)/N20</f>
        <v>8.7862242239130435</v>
      </c>
      <c r="N64" s="246">
        <f>((O18*(O26/1000))+O23)/O20</f>
        <v>9.1699193808854034</v>
      </c>
      <c r="O64" s="246">
        <f>((P18*(P26/1000))+P23)/P20</f>
        <v>9.018683231012659</v>
      </c>
      <c r="P64" s="246">
        <f>((Q18*(Q26/1000))+Q23)/Q20</f>
        <v>9.2491523364270325</v>
      </c>
      <c r="Q64" s="247">
        <f>((R18*(R26/1000))+R23)/R20</f>
        <v>10.304286536463406</v>
      </c>
      <c r="R64" s="248">
        <f>AVERAGE(M64:Q64)</f>
        <v>9.3056531417403097</v>
      </c>
      <c r="S64" s="246">
        <f>((S18*(S26/1000))+S23)/S20</f>
        <v>10.391573088092933</v>
      </c>
      <c r="U64" s="203" t="s">
        <v>123</v>
      </c>
      <c r="V64" s="42">
        <f>W9/V9-1</f>
        <v>0.17436351283701645</v>
      </c>
      <c r="W64" s="42">
        <f>X9/W9-1</f>
        <v>1.6254468964012059E-2</v>
      </c>
      <c r="X64" s="42">
        <f>Y9/X9-1</f>
        <v>0.33098551108203744</v>
      </c>
      <c r="Y64" s="42">
        <f>Z9/Y9-1</f>
        <v>0.48888246913672884</v>
      </c>
      <c r="Z64" s="172">
        <f>AA9/Z9-1</f>
        <v>4.2051735629446974E-2</v>
      </c>
      <c r="AA64" s="42">
        <f>AVERAGE(V64:Z64)</f>
        <v>0.21050753952984835</v>
      </c>
      <c r="AB64" s="42">
        <f>(AA9/V9)^(1/5)-1</f>
        <v>0.19769326846861213</v>
      </c>
    </row>
    <row r="65" spans="6:28">
      <c r="L65" s="203" t="s">
        <v>123</v>
      </c>
      <c r="M65" s="246">
        <f>((W6*(W14/1000))+W11)/W8</f>
        <v>8.0613246758558041</v>
      </c>
      <c r="N65" s="246">
        <f>((X6*(X14/1000))+X11)/X8</f>
        <v>9.3024843221220532</v>
      </c>
      <c r="O65" s="246">
        <f>((Y6*(Y14/1000))+Y11)/Y8</f>
        <v>10.550377227394625</v>
      </c>
      <c r="P65" s="246">
        <f>((Z6*(Z14/1000))+Z11)/Z8</f>
        <v>9.6543817655058604</v>
      </c>
      <c r="Q65" s="247">
        <f>((AA6*(AA14/1000))+AA11)/AA8</f>
        <v>10.190875740666657</v>
      </c>
      <c r="R65" s="248">
        <f>AVERAGE(M65:Q65)</f>
        <v>9.5518887463090003</v>
      </c>
      <c r="S65" s="246">
        <f>((AB6*(AB14/1000))+AB11)/AB8</f>
        <v>10.267958206075534</v>
      </c>
      <c r="U65" s="203" t="s">
        <v>122</v>
      </c>
      <c r="V65" s="42">
        <f>W21/V21-1</f>
        <v>-0.23232323232323226</v>
      </c>
      <c r="W65" s="42">
        <f>X21/W21-1</f>
        <v>0.14342105263157889</v>
      </c>
      <c r="X65" s="42">
        <f>Y21/X21-1</f>
        <v>-0.11277330264672036</v>
      </c>
      <c r="Y65" s="42">
        <f>Z21/Y21-1</f>
        <v>-0.49156939040207526</v>
      </c>
      <c r="Z65" s="172">
        <f>AA21/Z21-1</f>
        <v>-0.23724489795918369</v>
      </c>
      <c r="AA65" s="42">
        <f>AVERAGE(V65:Z65)</f>
        <v>-0.18609795413992652</v>
      </c>
      <c r="AB65" s="42">
        <f>(AA21/V21)^(1/5)-1</f>
        <v>-0.2129411643431578</v>
      </c>
    </row>
    <row r="66" spans="6:28">
      <c r="L66" s="203" t="s">
        <v>122</v>
      </c>
      <c r="M66" s="249">
        <f>((W18*(W26/1000))+W23)/W20</f>
        <v>6.7513226329904619</v>
      </c>
      <c r="N66" s="249">
        <f>((X18*(X26/1000))+X23)/X20</f>
        <v>9.8551399883523949</v>
      </c>
      <c r="O66" s="249">
        <f>((Y18*(Y26/1000))+Y23)/Y20</f>
        <v>9.2499888343775964</v>
      </c>
      <c r="P66" s="249">
        <f>((Z18*(Z26/1000))+Z23)/Z20</f>
        <v>9.516378136911877</v>
      </c>
      <c r="Q66" s="250">
        <f>((AA18*(AA26/1000))+AA23)/AA20</f>
        <v>14.626886806160998</v>
      </c>
      <c r="R66" s="251">
        <f>AVERAGE(M66:Q66)</f>
        <v>9.9999432797586643</v>
      </c>
      <c r="S66" s="249">
        <f>((AB18*(AB26/1000))+AB23)/AB20</f>
        <v>12.340861178091629</v>
      </c>
      <c r="U66" s="2" t="s">
        <v>136</v>
      </c>
      <c r="V66" s="210">
        <f t="shared" ref="V66:AB66" si="8">AVERAGE(V62:V65)</f>
        <v>5.0226205586613337E-2</v>
      </c>
      <c r="W66" s="210">
        <f t="shared" si="8"/>
        <v>0.13433297266597416</v>
      </c>
      <c r="X66" s="210">
        <f t="shared" si="8"/>
        <v>4.9140050244486339E-2</v>
      </c>
      <c r="Y66" s="210">
        <f t="shared" si="8"/>
        <v>3.7629586939800175E-2</v>
      </c>
      <c r="Z66" s="211">
        <f t="shared" si="8"/>
        <v>0.14037581656042292</v>
      </c>
      <c r="AA66" s="210">
        <f t="shared" si="8"/>
        <v>8.2340926399459377E-2</v>
      </c>
      <c r="AB66" s="210">
        <f t="shared" si="8"/>
        <v>6.2725045307831184E-2</v>
      </c>
    </row>
    <row r="67" spans="6:28">
      <c r="L67" s="15" t="s">
        <v>136</v>
      </c>
      <c r="M67" s="241">
        <f t="shared" ref="M67:S67" si="9">AVERAGE(M63:M66)</f>
        <v>8.4340572290735398</v>
      </c>
      <c r="N67" s="241">
        <f t="shared" si="9"/>
        <v>10.025390862529495</v>
      </c>
      <c r="O67" s="241">
        <f t="shared" si="9"/>
        <v>9.9907052372669742</v>
      </c>
      <c r="P67" s="241">
        <f t="shared" si="9"/>
        <v>9.847976692580426</v>
      </c>
      <c r="Q67" s="242">
        <f t="shared" si="9"/>
        <v>10.906064128649103</v>
      </c>
      <c r="R67" s="243">
        <f t="shared" si="9"/>
        <v>9.8408388300199086</v>
      </c>
      <c r="S67" s="241">
        <f t="shared" si="9"/>
        <v>11.029945480579054</v>
      </c>
      <c r="U67" s="200" t="s">
        <v>207</v>
      </c>
      <c r="V67" s="42">
        <f>Hydro!J44/Hydro!I44-1</f>
        <v>0.25744680851063828</v>
      </c>
      <c r="W67" s="42">
        <f>Hydro!K44/Hydro!J44-1</f>
        <v>8.4602368866328215E-2</v>
      </c>
      <c r="X67" s="42">
        <f>Hydro!L44/Hydro!K44-1</f>
        <v>0.16224648985959433</v>
      </c>
      <c r="Y67" s="42">
        <f>Hydro!M44/Hydro!L44-1</f>
        <v>7.7852348993288523E-2</v>
      </c>
      <c r="Z67" s="172">
        <f>Hydro!N44/Hydro!M44-1</f>
        <v>-0.701120797011208</v>
      </c>
      <c r="AA67" s="42">
        <f>AVERAGE(V67:Z67)</f>
        <v>-2.379455615627173E-2</v>
      </c>
      <c r="AB67" s="42">
        <f>(Hydro!R44/Hydro!I44)^(1/5)-1</f>
        <v>9.7095790703544127E-2</v>
      </c>
    </row>
    <row r="68" spans="6:28">
      <c r="L68" s="193"/>
      <c r="M68" s="194"/>
      <c r="N68" s="195"/>
      <c r="O68" s="196"/>
      <c r="P68" s="5"/>
      <c r="Q68" s="181"/>
      <c r="V68" s="31"/>
    </row>
    <row r="69" spans="6:28">
      <c r="L69" s="193"/>
      <c r="M69" s="194"/>
      <c r="N69" s="195"/>
      <c r="O69" s="196"/>
      <c r="P69" s="5"/>
      <c r="Q69" s="181"/>
      <c r="V69" s="31"/>
    </row>
    <row r="70" spans="6:28">
      <c r="L70" s="193"/>
      <c r="M70" s="194"/>
      <c r="N70" s="195"/>
      <c r="O70" s="196"/>
      <c r="P70" s="5"/>
      <c r="Q70" s="181"/>
    </row>
    <row r="71" spans="6:28">
      <c r="L71" s="193"/>
      <c r="M71" s="194"/>
      <c r="N71" s="195"/>
      <c r="O71" s="196"/>
      <c r="P71" s="5"/>
      <c r="Q71" s="181"/>
    </row>
    <row r="72" spans="6:28">
      <c r="F72" s="192"/>
      <c r="G72" s="192"/>
      <c r="I72" s="192"/>
      <c r="J72" s="192"/>
      <c r="L72" s="193"/>
      <c r="M72" s="194"/>
      <c r="N72" s="195"/>
      <c r="O72" s="196"/>
      <c r="P72" s="5"/>
      <c r="Q72" s="181"/>
    </row>
    <row r="73" spans="6:28">
      <c r="J73" s="252"/>
      <c r="L73" s="193"/>
      <c r="M73" s="194"/>
      <c r="N73" s="195"/>
      <c r="O73" s="196"/>
      <c r="P73" s="5"/>
      <c r="Q73" s="181"/>
    </row>
    <row r="74" spans="6:28">
      <c r="L74" s="193"/>
      <c r="M74" s="194"/>
      <c r="N74" s="195"/>
      <c r="O74" s="196"/>
      <c r="P74" s="5"/>
      <c r="Q74" s="181"/>
    </row>
    <row r="75" spans="6:28">
      <c r="L75" s="193"/>
      <c r="M75" s="194"/>
      <c r="N75" s="195"/>
      <c r="O75" s="196"/>
      <c r="P75" s="5"/>
      <c r="Q75" s="181"/>
    </row>
    <row r="76" spans="6:28">
      <c r="L76" s="193"/>
      <c r="M76" s="194"/>
      <c r="N76" s="195"/>
      <c r="O76" s="196"/>
      <c r="P76" s="5"/>
      <c r="Q76" s="181"/>
    </row>
    <row r="77" spans="6:28">
      <c r="L77" s="193"/>
      <c r="M77" s="194"/>
      <c r="N77" s="195"/>
      <c r="O77" s="196"/>
      <c r="P77" s="5"/>
      <c r="Q77" s="181"/>
    </row>
    <row r="78" spans="6:28">
      <c r="L78" s="193"/>
      <c r="M78" s="194"/>
      <c r="N78" s="195"/>
      <c r="O78" s="196"/>
      <c r="P78" s="5"/>
      <c r="Q78" s="181"/>
    </row>
    <row r="79" spans="6:28">
      <c r="L79" s="193"/>
      <c r="M79" s="194"/>
      <c r="N79" s="195"/>
      <c r="O79" s="196"/>
      <c r="P79" s="5"/>
      <c r="Q79" s="181"/>
    </row>
    <row r="80" spans="6:28">
      <c r="L80" s="193"/>
      <c r="M80" s="194"/>
      <c r="N80" s="195"/>
      <c r="O80" s="196"/>
      <c r="P80" s="5"/>
      <c r="Q80" s="181"/>
    </row>
    <row r="81" spans="12:17">
      <c r="L81" s="193"/>
      <c r="M81" s="194"/>
      <c r="N81" s="195"/>
      <c r="O81" s="196"/>
      <c r="P81" s="5"/>
      <c r="Q81" s="181"/>
    </row>
    <row r="82" spans="12:17">
      <c r="L82" s="193"/>
      <c r="M82" s="194"/>
      <c r="N82" s="195"/>
      <c r="O82" s="196"/>
      <c r="P82" s="5"/>
      <c r="Q82" s="181"/>
    </row>
    <row r="83" spans="12:17">
      <c r="L83" s="193"/>
      <c r="M83" s="194"/>
      <c r="N83" s="195"/>
      <c r="O83" s="196"/>
      <c r="P83" s="5"/>
      <c r="Q83" s="181"/>
    </row>
    <row r="84" spans="12:17">
      <c r="L84" s="193"/>
      <c r="M84" s="194"/>
      <c r="N84" s="195"/>
      <c r="O84" s="196"/>
      <c r="P84" s="5"/>
      <c r="Q84" s="181"/>
    </row>
    <row r="85" spans="12:17">
      <c r="L85" s="193"/>
      <c r="M85" s="194"/>
      <c r="N85" s="195"/>
      <c r="O85" s="196"/>
      <c r="P85" s="5"/>
      <c r="Q85" s="181"/>
    </row>
    <row r="86" spans="12:17">
      <c r="L86" s="193"/>
      <c r="M86" s="194"/>
      <c r="N86" s="195"/>
      <c r="O86" s="196"/>
      <c r="P86" s="5"/>
      <c r="Q86" s="181"/>
    </row>
    <row r="87" spans="12:17">
      <c r="L87" s="193"/>
      <c r="M87" s="194"/>
      <c r="N87" s="195"/>
      <c r="O87" s="196"/>
      <c r="P87" s="5"/>
      <c r="Q87" s="181"/>
    </row>
    <row r="88" spans="12:17">
      <c r="L88" s="193"/>
      <c r="M88" s="194"/>
      <c r="N88" s="195"/>
      <c r="O88" s="196"/>
      <c r="P88" s="5"/>
      <c r="Q88" s="181"/>
    </row>
    <row r="89" spans="12:17">
      <c r="L89" s="193"/>
      <c r="M89" s="194"/>
      <c r="N89" s="195"/>
      <c r="O89" s="196"/>
      <c r="P89" s="5"/>
      <c r="Q89" s="181"/>
    </row>
    <row r="90" spans="12:17">
      <c r="L90" s="193"/>
      <c r="M90" s="194"/>
      <c r="N90" s="195"/>
      <c r="O90" s="196"/>
      <c r="P90" s="5"/>
      <c r="Q90" s="181"/>
    </row>
    <row r="91" spans="12:17">
      <c r="L91" s="193"/>
      <c r="M91" s="194"/>
      <c r="N91" s="195"/>
      <c r="O91" s="196"/>
      <c r="P91" s="5"/>
      <c r="Q91" s="181"/>
    </row>
    <row r="92" spans="12:17">
      <c r="L92" s="193"/>
      <c r="M92" s="194"/>
      <c r="N92" s="195"/>
      <c r="O92" s="196"/>
      <c r="P92" s="5"/>
      <c r="Q92" s="181"/>
    </row>
    <row r="93" spans="12:17">
      <c r="L93" s="193"/>
      <c r="M93" s="194"/>
      <c r="N93" s="195"/>
      <c r="O93" s="196"/>
      <c r="P93" s="5"/>
      <c r="Q93" s="181"/>
    </row>
    <row r="94" spans="12:17">
      <c r="L94" s="193"/>
      <c r="M94" s="194"/>
      <c r="N94" s="195"/>
      <c r="O94" s="196"/>
      <c r="P94" s="5"/>
      <c r="Q94" s="181"/>
    </row>
    <row r="95" spans="12:17">
      <c r="L95" s="193"/>
      <c r="M95" s="194"/>
      <c r="N95" s="195"/>
      <c r="O95" s="196"/>
      <c r="P95" s="5"/>
      <c r="Q95" s="181"/>
    </row>
    <row r="96" spans="12:17">
      <c r="L96" s="193"/>
      <c r="M96" s="194"/>
      <c r="N96" s="195"/>
      <c r="O96" s="196"/>
      <c r="P96" s="5"/>
      <c r="Q96" s="181"/>
    </row>
    <row r="97" spans="12:17">
      <c r="L97" s="193"/>
      <c r="M97" s="194"/>
      <c r="N97" s="195"/>
      <c r="O97" s="196"/>
      <c r="P97" s="5"/>
      <c r="Q97" s="181"/>
    </row>
    <row r="98" spans="12:17">
      <c r="L98" s="193"/>
      <c r="M98" s="194"/>
      <c r="N98" s="195"/>
      <c r="O98" s="196"/>
      <c r="P98" s="5"/>
      <c r="Q98" s="181"/>
    </row>
    <row r="99" spans="12:17">
      <c r="L99" s="193"/>
      <c r="M99" s="194"/>
      <c r="N99" s="195"/>
      <c r="O99" s="196"/>
      <c r="P99" s="5"/>
      <c r="Q99" s="181"/>
    </row>
    <row r="100" spans="12:17">
      <c r="L100" s="193"/>
      <c r="M100" s="194"/>
      <c r="N100" s="195"/>
      <c r="O100" s="196"/>
      <c r="P100" s="5"/>
      <c r="Q100" s="181"/>
    </row>
    <row r="101" spans="12:17">
      <c r="L101" s="193"/>
      <c r="M101" s="194"/>
      <c r="N101" s="195"/>
      <c r="O101" s="196"/>
      <c r="P101" s="5"/>
      <c r="Q101" s="181"/>
    </row>
    <row r="102" spans="12:17">
      <c r="L102" s="193"/>
      <c r="M102" s="194"/>
      <c r="N102" s="195"/>
      <c r="O102" s="196"/>
      <c r="P102" s="5"/>
      <c r="Q102" s="181"/>
    </row>
    <row r="103" spans="12:17">
      <c r="L103" s="193"/>
      <c r="M103" s="194"/>
      <c r="N103" s="195"/>
      <c r="O103" s="196"/>
      <c r="P103" s="5"/>
      <c r="Q103" s="181"/>
    </row>
    <row r="104" spans="12:17">
      <c r="L104" s="193"/>
      <c r="M104" s="194"/>
      <c r="N104" s="195"/>
      <c r="O104" s="196"/>
      <c r="P104" s="5"/>
      <c r="Q104" s="181"/>
    </row>
    <row r="105" spans="12:17">
      <c r="L105" s="193"/>
      <c r="M105" s="194"/>
      <c r="N105" s="195"/>
      <c r="O105" s="196"/>
      <c r="P105" s="5"/>
      <c r="Q105" s="181"/>
    </row>
    <row r="106" spans="12:17">
      <c r="L106" s="193"/>
      <c r="M106" s="194"/>
      <c r="N106" s="195"/>
      <c r="O106" s="196"/>
      <c r="P106" s="5"/>
      <c r="Q106" s="181"/>
    </row>
    <row r="107" spans="12:17">
      <c r="L107" s="193"/>
      <c r="M107" s="194"/>
      <c r="N107" s="195"/>
      <c r="O107" s="196"/>
      <c r="P107" s="5"/>
      <c r="Q107" s="181"/>
    </row>
    <row r="108" spans="12:17">
      <c r="L108" s="193"/>
      <c r="M108" s="194"/>
      <c r="N108" s="195"/>
      <c r="O108" s="196"/>
      <c r="P108" s="5"/>
      <c r="Q108" s="181"/>
    </row>
    <row r="109" spans="12:17">
      <c r="L109" s="193"/>
      <c r="M109" s="194"/>
      <c r="N109" s="195"/>
      <c r="O109" s="196"/>
      <c r="P109" s="5"/>
      <c r="Q109" s="181"/>
    </row>
    <row r="110" spans="12:17">
      <c r="L110" s="193"/>
      <c r="M110" s="194"/>
      <c r="N110" s="195"/>
      <c r="O110" s="196"/>
      <c r="P110" s="5"/>
      <c r="Q110" s="181"/>
    </row>
    <row r="111" spans="12:17">
      <c r="L111" s="193"/>
      <c r="M111" s="194"/>
      <c r="N111" s="195"/>
      <c r="O111" s="196"/>
      <c r="P111" s="5"/>
      <c r="Q111" s="181"/>
    </row>
    <row r="112" spans="12:17">
      <c r="L112" s="193"/>
      <c r="M112" s="194"/>
      <c r="N112" s="195"/>
      <c r="O112" s="196"/>
      <c r="P112" s="5"/>
      <c r="Q112" s="181"/>
    </row>
    <row r="113" spans="12:17">
      <c r="L113" s="193"/>
      <c r="M113" s="194"/>
      <c r="N113" s="195"/>
      <c r="O113" s="196"/>
      <c r="P113" s="5"/>
      <c r="Q113" s="181"/>
    </row>
    <row r="114" spans="12:17">
      <c r="L114" s="193"/>
      <c r="M114" s="194"/>
      <c r="N114" s="195"/>
      <c r="O114" s="196"/>
      <c r="P114" s="5"/>
      <c r="Q114" s="181"/>
    </row>
    <row r="115" spans="12:17">
      <c r="L115" s="193"/>
      <c r="M115" s="194"/>
      <c r="N115" s="195"/>
      <c r="O115" s="196"/>
      <c r="P115" s="5"/>
      <c r="Q115" s="181"/>
    </row>
    <row r="116" spans="12:17">
      <c r="L116" s="193"/>
      <c r="M116" s="194"/>
      <c r="N116" s="195"/>
      <c r="O116" s="196"/>
      <c r="P116" s="5"/>
      <c r="Q116" s="181"/>
    </row>
    <row r="117" spans="12:17">
      <c r="L117" s="193"/>
      <c r="M117" s="194"/>
      <c r="N117" s="195"/>
      <c r="O117" s="196"/>
      <c r="P117" s="5"/>
      <c r="Q117" s="181"/>
    </row>
    <row r="118" spans="12:17">
      <c r="L118" s="193"/>
      <c r="M118" s="194"/>
      <c r="N118" s="195"/>
      <c r="O118" s="196"/>
      <c r="P118" s="5"/>
      <c r="Q118" s="181"/>
    </row>
    <row r="119" spans="12:17">
      <c r="L119" s="193"/>
      <c r="M119" s="194"/>
      <c r="N119" s="195"/>
      <c r="O119" s="196"/>
      <c r="P119" s="5"/>
      <c r="Q119" s="181"/>
    </row>
    <row r="120" spans="12:17">
      <c r="L120" s="193"/>
      <c r="M120" s="194"/>
      <c r="N120" s="195"/>
      <c r="O120" s="196"/>
      <c r="P120" s="5"/>
      <c r="Q120" s="181"/>
    </row>
    <row r="121" spans="12:17">
      <c r="L121" s="193"/>
      <c r="M121" s="194"/>
      <c r="N121" s="195"/>
      <c r="O121" s="196"/>
      <c r="P121" s="5"/>
      <c r="Q121" s="181"/>
    </row>
    <row r="122" spans="12:17">
      <c r="L122" s="193"/>
      <c r="M122" s="194"/>
      <c r="N122" s="195"/>
      <c r="O122" s="196"/>
      <c r="P122" s="5"/>
      <c r="Q122" s="181"/>
    </row>
    <row r="123" spans="12:17">
      <c r="L123" s="193"/>
      <c r="M123" s="194"/>
      <c r="N123" s="195"/>
      <c r="O123" s="196"/>
      <c r="P123" s="5"/>
      <c r="Q123" s="181"/>
    </row>
    <row r="124" spans="12:17">
      <c r="L124" s="193"/>
      <c r="M124" s="194"/>
      <c r="N124" s="195"/>
      <c r="O124" s="196"/>
      <c r="P124" s="5"/>
      <c r="Q124" s="181"/>
    </row>
    <row r="125" spans="12:17">
      <c r="L125" s="193"/>
      <c r="M125" s="194"/>
      <c r="N125" s="195"/>
      <c r="O125" s="196"/>
      <c r="P125" s="5"/>
      <c r="Q125" s="181"/>
    </row>
    <row r="126" spans="12:17">
      <c r="L126" s="193"/>
      <c r="M126" s="194"/>
      <c r="N126" s="195"/>
      <c r="O126" s="196"/>
      <c r="P126" s="5"/>
      <c r="Q126" s="181"/>
    </row>
    <row r="127" spans="12:17">
      <c r="L127" s="193"/>
      <c r="M127" s="194"/>
      <c r="N127" s="195"/>
      <c r="O127" s="196"/>
      <c r="P127" s="5"/>
      <c r="Q127" s="181"/>
    </row>
    <row r="128" spans="12:17">
      <c r="L128" s="193"/>
      <c r="M128" s="194"/>
      <c r="N128" s="195"/>
      <c r="O128" s="196"/>
      <c r="P128" s="5"/>
      <c r="Q128" s="181"/>
    </row>
    <row r="129" spans="12:17">
      <c r="L129" s="193"/>
      <c r="M129" s="194"/>
      <c r="N129" s="195"/>
      <c r="O129" s="196"/>
      <c r="P129" s="5"/>
      <c r="Q129" s="181"/>
    </row>
    <row r="130" spans="12:17">
      <c r="L130" s="193"/>
      <c r="M130" s="194"/>
      <c r="N130" s="195"/>
      <c r="O130" s="196"/>
      <c r="P130" s="5"/>
      <c r="Q130" s="181"/>
    </row>
    <row r="131" spans="12:17">
      <c r="L131" s="193"/>
      <c r="M131" s="194"/>
      <c r="N131" s="195"/>
      <c r="O131" s="196"/>
      <c r="P131" s="5"/>
      <c r="Q131" s="181"/>
    </row>
    <row r="132" spans="12:17">
      <c r="L132" s="193"/>
      <c r="M132" s="194"/>
      <c r="N132" s="195"/>
      <c r="O132" s="196"/>
      <c r="P132" s="5"/>
      <c r="Q132" s="181"/>
    </row>
    <row r="133" spans="12:17">
      <c r="L133" s="193"/>
      <c r="M133" s="194"/>
      <c r="N133" s="195"/>
      <c r="O133" s="196"/>
      <c r="P133" s="5"/>
      <c r="Q133" s="181"/>
    </row>
    <row r="134" spans="12:17">
      <c r="L134" s="193"/>
      <c r="M134" s="194"/>
      <c r="N134" s="195"/>
      <c r="O134" s="196"/>
      <c r="P134" s="5"/>
      <c r="Q134" s="181"/>
    </row>
    <row r="135" spans="12:17">
      <c r="L135" s="193"/>
      <c r="M135" s="194"/>
      <c r="N135" s="195"/>
      <c r="O135" s="196"/>
      <c r="P135" s="5"/>
      <c r="Q135" s="181"/>
    </row>
    <row r="136" spans="12:17">
      <c r="L136" s="193"/>
      <c r="M136" s="194"/>
      <c r="N136" s="195"/>
      <c r="O136" s="196"/>
      <c r="P136" s="5"/>
      <c r="Q136" s="181"/>
    </row>
    <row r="137" spans="12:17">
      <c r="L137" s="193"/>
      <c r="M137" s="194"/>
      <c r="N137" s="195"/>
      <c r="O137" s="196"/>
      <c r="P137" s="5"/>
      <c r="Q137" s="181"/>
    </row>
    <row r="138" spans="12:17">
      <c r="L138" s="193"/>
      <c r="M138" s="194"/>
      <c r="N138" s="195"/>
      <c r="O138" s="196"/>
      <c r="P138" s="5"/>
      <c r="Q138" s="181"/>
    </row>
    <row r="139" spans="12:17">
      <c r="L139" s="193"/>
      <c r="M139" s="194"/>
      <c r="N139" s="195"/>
      <c r="O139" s="196"/>
      <c r="P139" s="5"/>
      <c r="Q139" s="181"/>
    </row>
    <row r="140" spans="12:17">
      <c r="L140" s="193"/>
      <c r="M140" s="194"/>
      <c r="N140" s="195"/>
      <c r="O140" s="196"/>
      <c r="P140" s="5"/>
      <c r="Q140" s="181"/>
    </row>
    <row r="141" spans="12:17">
      <c r="L141" s="193"/>
      <c r="M141" s="194"/>
      <c r="N141" s="195"/>
      <c r="O141" s="196"/>
      <c r="P141" s="5"/>
      <c r="Q141" s="181"/>
    </row>
    <row r="142" spans="12:17">
      <c r="L142" s="193"/>
      <c r="M142" s="194"/>
      <c r="N142" s="195"/>
      <c r="O142" s="196"/>
      <c r="P142" s="5"/>
      <c r="Q142" s="181"/>
    </row>
    <row r="143" spans="12:17">
      <c r="L143" s="193"/>
      <c r="M143" s="194"/>
      <c r="N143" s="195"/>
      <c r="O143" s="196"/>
      <c r="P143" s="5"/>
      <c r="Q143" s="181"/>
    </row>
    <row r="144" spans="12:17">
      <c r="L144" s="193"/>
      <c r="M144" s="194"/>
      <c r="N144" s="195"/>
      <c r="O144" s="196"/>
      <c r="P144" s="5"/>
      <c r="Q144" s="181"/>
    </row>
    <row r="145" spans="12:17">
      <c r="L145" s="193"/>
      <c r="M145" s="194"/>
      <c r="N145" s="195"/>
      <c r="O145" s="196"/>
      <c r="P145" s="5"/>
      <c r="Q145" s="181"/>
    </row>
    <row r="146" spans="12:17">
      <c r="L146" s="193"/>
      <c r="M146" s="194"/>
      <c r="N146" s="195"/>
      <c r="O146" s="196"/>
      <c r="P146" s="5"/>
      <c r="Q146" s="181"/>
    </row>
    <row r="147" spans="12:17">
      <c r="L147" s="193"/>
      <c r="M147" s="194"/>
      <c r="N147" s="195"/>
      <c r="O147" s="196"/>
      <c r="P147" s="5"/>
      <c r="Q147" s="181"/>
    </row>
    <row r="148" spans="12:17">
      <c r="L148" s="193"/>
      <c r="M148" s="194"/>
      <c r="N148" s="195"/>
      <c r="O148" s="196"/>
      <c r="P148" s="5"/>
      <c r="Q148" s="181"/>
    </row>
    <row r="149" spans="12:17">
      <c r="L149" s="193"/>
      <c r="M149" s="194"/>
      <c r="N149" s="195"/>
      <c r="O149" s="196"/>
      <c r="P149" s="5"/>
      <c r="Q149" s="181"/>
    </row>
    <row r="150" spans="12:17">
      <c r="L150" s="193"/>
      <c r="M150" s="194"/>
      <c r="N150" s="195"/>
      <c r="O150" s="196"/>
      <c r="P150" s="5"/>
      <c r="Q150" s="181"/>
    </row>
    <row r="151" spans="12:17">
      <c r="L151" s="193"/>
      <c r="M151" s="194"/>
      <c r="N151" s="195"/>
      <c r="O151" s="196"/>
      <c r="P151" s="5"/>
      <c r="Q151" s="181"/>
    </row>
    <row r="152" spans="12:17">
      <c r="L152" s="193"/>
      <c r="M152" s="194"/>
      <c r="N152" s="195"/>
      <c r="O152" s="196"/>
      <c r="P152" s="5"/>
      <c r="Q152" s="181"/>
    </row>
    <row r="153" spans="12:17">
      <c r="L153" s="193"/>
      <c r="M153" s="194"/>
      <c r="N153" s="195"/>
      <c r="O153" s="196"/>
      <c r="P153" s="5"/>
      <c r="Q153" s="181"/>
    </row>
    <row r="154" spans="12:17">
      <c r="L154" s="193"/>
      <c r="M154" s="194"/>
      <c r="N154" s="195"/>
      <c r="O154" s="196"/>
      <c r="P154" s="5"/>
      <c r="Q154" s="181"/>
    </row>
    <row r="155" spans="12:17">
      <c r="L155" s="193"/>
      <c r="M155" s="194"/>
      <c r="N155" s="195"/>
      <c r="O155" s="196"/>
      <c r="P155" s="5"/>
      <c r="Q155" s="181"/>
    </row>
    <row r="156" spans="12:17">
      <c r="L156" s="193"/>
      <c r="M156" s="194"/>
      <c r="N156" s="195"/>
      <c r="O156" s="196"/>
      <c r="P156" s="5"/>
      <c r="Q156" s="181"/>
    </row>
    <row r="157" spans="12:17">
      <c r="L157" s="193"/>
      <c r="M157" s="194"/>
      <c r="N157" s="195"/>
      <c r="O157" s="196"/>
      <c r="P157" s="5"/>
      <c r="Q157" s="181"/>
    </row>
    <row r="158" spans="12:17">
      <c r="L158" s="193"/>
      <c r="M158" s="194"/>
      <c r="N158" s="195"/>
      <c r="O158" s="196"/>
      <c r="P158" s="5"/>
      <c r="Q158" s="181"/>
    </row>
    <row r="159" spans="12:17">
      <c r="L159" s="193"/>
      <c r="M159" s="194"/>
      <c r="N159" s="195"/>
      <c r="O159" s="196"/>
      <c r="P159" s="5"/>
      <c r="Q159" s="181"/>
    </row>
    <row r="160" spans="12:17">
      <c r="L160" s="193"/>
      <c r="M160" s="194"/>
      <c r="N160" s="195"/>
      <c r="O160" s="196"/>
      <c r="P160" s="5"/>
      <c r="Q160" s="181"/>
    </row>
    <row r="161" spans="12:17">
      <c r="L161" s="193"/>
      <c r="M161" s="194"/>
      <c r="N161" s="195"/>
      <c r="O161" s="196"/>
      <c r="P161" s="5"/>
      <c r="Q161" s="181"/>
    </row>
    <row r="162" spans="12:17">
      <c r="L162" s="193"/>
      <c r="M162" s="194"/>
      <c r="N162" s="195"/>
      <c r="O162" s="196"/>
      <c r="P162" s="5"/>
      <c r="Q162" s="181"/>
    </row>
    <row r="163" spans="12:17">
      <c r="L163" s="193"/>
      <c r="M163" s="194"/>
      <c r="N163" s="195"/>
      <c r="O163" s="196"/>
      <c r="P163" s="5"/>
      <c r="Q163" s="181"/>
    </row>
    <row r="164" spans="12:17">
      <c r="L164" s="193"/>
      <c r="M164" s="194"/>
      <c r="N164" s="195"/>
      <c r="O164" s="196"/>
      <c r="P164" s="5"/>
      <c r="Q164" s="181"/>
    </row>
    <row r="165" spans="12:17">
      <c r="L165" s="193"/>
      <c r="M165" s="194"/>
      <c r="N165" s="195"/>
      <c r="O165" s="196"/>
      <c r="P165" s="5"/>
      <c r="Q165" s="181"/>
    </row>
    <row r="166" spans="12:17">
      <c r="L166" s="193"/>
      <c r="M166" s="194"/>
      <c r="N166" s="195"/>
      <c r="O166" s="196"/>
      <c r="P166" s="5"/>
      <c r="Q166" s="181"/>
    </row>
    <row r="167" spans="12:17">
      <c r="L167" s="193"/>
      <c r="M167" s="194"/>
      <c r="N167" s="195"/>
      <c r="O167" s="196"/>
      <c r="P167" s="5"/>
      <c r="Q167" s="181"/>
    </row>
    <row r="168" spans="12:17">
      <c r="L168" s="193"/>
      <c r="M168" s="194"/>
      <c r="N168" s="195"/>
      <c r="O168" s="196"/>
      <c r="P168" s="5"/>
      <c r="Q168" s="181"/>
    </row>
    <row r="169" spans="12:17">
      <c r="L169" s="193"/>
      <c r="M169" s="194"/>
      <c r="N169" s="195"/>
      <c r="O169" s="196"/>
      <c r="P169" s="5"/>
      <c r="Q169" s="181"/>
    </row>
    <row r="170" spans="12:17">
      <c r="L170" s="193"/>
      <c r="M170" s="194"/>
      <c r="N170" s="195"/>
      <c r="O170" s="196"/>
      <c r="P170" s="5"/>
      <c r="Q170" s="181"/>
    </row>
    <row r="171" spans="12:17">
      <c r="L171" s="193"/>
      <c r="M171" s="194"/>
      <c r="N171" s="195"/>
      <c r="O171" s="196"/>
      <c r="P171" s="5"/>
      <c r="Q171" s="181"/>
    </row>
    <row r="172" spans="12:17">
      <c r="L172" s="193"/>
      <c r="M172" s="194"/>
      <c r="N172" s="195"/>
      <c r="O172" s="196"/>
      <c r="P172" s="5"/>
      <c r="Q172" s="181"/>
    </row>
    <row r="173" spans="12:17">
      <c r="L173" s="193"/>
      <c r="M173" s="194"/>
      <c r="N173" s="195"/>
      <c r="O173" s="196"/>
      <c r="P173" s="5"/>
      <c r="Q173" s="181"/>
    </row>
    <row r="174" spans="12:17">
      <c r="L174" s="193"/>
      <c r="M174" s="194"/>
      <c r="N174" s="195"/>
      <c r="O174" s="196"/>
      <c r="P174" s="5"/>
      <c r="Q174" s="181"/>
    </row>
    <row r="175" spans="12:17">
      <c r="L175" s="193"/>
      <c r="M175" s="194"/>
      <c r="N175" s="195"/>
      <c r="O175" s="196"/>
      <c r="P175" s="5"/>
      <c r="Q175" s="181"/>
    </row>
    <row r="176" spans="12:17">
      <c r="L176" s="193"/>
      <c r="M176" s="194"/>
      <c r="N176" s="195"/>
      <c r="O176" s="196"/>
      <c r="P176" s="5"/>
      <c r="Q176" s="181"/>
    </row>
    <row r="177" spans="12:17">
      <c r="L177" s="193"/>
      <c r="M177" s="194"/>
      <c r="N177" s="195"/>
      <c r="O177" s="196"/>
      <c r="P177" s="5"/>
      <c r="Q177" s="181"/>
    </row>
    <row r="178" spans="12:17">
      <c r="L178" s="193"/>
      <c r="M178" s="194"/>
      <c r="N178" s="195"/>
      <c r="O178" s="196"/>
      <c r="P178" s="5"/>
      <c r="Q178" s="181"/>
    </row>
    <row r="179" spans="12:17">
      <c r="L179" s="193"/>
      <c r="M179" s="194"/>
      <c r="N179" s="195"/>
      <c r="O179" s="196"/>
      <c r="P179" s="5"/>
      <c r="Q179" s="181"/>
    </row>
    <row r="180" spans="12:17">
      <c r="L180" s="193"/>
      <c r="M180" s="194"/>
      <c r="N180" s="195"/>
      <c r="O180" s="196"/>
      <c r="P180" s="5"/>
      <c r="Q180" s="181"/>
    </row>
    <row r="181" spans="12:17">
      <c r="L181" s="193"/>
      <c r="M181" s="194"/>
      <c r="N181" s="195"/>
      <c r="O181" s="196"/>
      <c r="P181" s="5"/>
      <c r="Q181" s="181"/>
    </row>
    <row r="182" spans="12:17">
      <c r="L182" s="193"/>
      <c r="M182" s="194"/>
      <c r="N182" s="195"/>
      <c r="O182" s="196"/>
      <c r="P182" s="5"/>
      <c r="Q182" s="181"/>
    </row>
    <row r="183" spans="12:17">
      <c r="L183" s="193"/>
      <c r="M183" s="194"/>
      <c r="N183" s="195"/>
      <c r="O183" s="196"/>
      <c r="P183" s="5"/>
      <c r="Q183" s="181"/>
    </row>
    <row r="184" spans="12:17">
      <c r="L184" s="193"/>
      <c r="M184" s="194"/>
      <c r="N184" s="195"/>
      <c r="O184" s="196"/>
      <c r="P184" s="5"/>
      <c r="Q184" s="181"/>
    </row>
    <row r="185" spans="12:17">
      <c r="L185" s="193"/>
      <c r="M185" s="194"/>
      <c r="N185" s="195"/>
      <c r="O185" s="196"/>
      <c r="P185" s="5"/>
      <c r="Q185" s="181"/>
    </row>
    <row r="186" spans="12:17">
      <c r="L186" s="193"/>
      <c r="M186" s="194"/>
      <c r="N186" s="195"/>
      <c r="O186" s="196"/>
      <c r="P186" s="5"/>
      <c r="Q186" s="181"/>
    </row>
    <row r="187" spans="12:17">
      <c r="L187" s="193"/>
      <c r="M187" s="194"/>
      <c r="N187" s="195"/>
      <c r="O187" s="196"/>
      <c r="P187" s="5"/>
      <c r="Q187" s="181"/>
    </row>
    <row r="188" spans="12:17">
      <c r="L188" s="193"/>
      <c r="M188" s="194"/>
      <c r="N188" s="195"/>
      <c r="O188" s="196"/>
      <c r="P188" s="5"/>
      <c r="Q188" s="181"/>
    </row>
    <row r="189" spans="12:17">
      <c r="L189" s="193"/>
      <c r="M189" s="194"/>
      <c r="N189" s="195"/>
      <c r="O189" s="196"/>
      <c r="P189" s="5"/>
      <c r="Q189" s="181"/>
    </row>
    <row r="190" spans="12:17">
      <c r="L190" s="193"/>
      <c r="M190" s="194"/>
      <c r="N190" s="195"/>
      <c r="O190" s="196"/>
      <c r="P190" s="5"/>
      <c r="Q190" s="181"/>
    </row>
    <row r="191" spans="12:17">
      <c r="L191" s="193"/>
      <c r="M191" s="194"/>
      <c r="N191" s="195"/>
      <c r="O191" s="196"/>
      <c r="P191" s="5"/>
      <c r="Q191" s="181"/>
    </row>
    <row r="192" spans="12:17">
      <c r="L192" s="193"/>
      <c r="M192" s="194"/>
      <c r="N192" s="195"/>
      <c r="O192" s="196"/>
      <c r="P192" s="5"/>
      <c r="Q192" s="181"/>
    </row>
    <row r="193" spans="12:17">
      <c r="L193" s="193"/>
      <c r="M193" s="194"/>
      <c r="N193" s="195"/>
      <c r="O193" s="196"/>
      <c r="P193" s="5"/>
      <c r="Q193" s="181"/>
    </row>
    <row r="194" spans="12:17">
      <c r="L194" s="193"/>
      <c r="M194" s="194"/>
      <c r="N194" s="195"/>
      <c r="O194" s="196"/>
      <c r="P194" s="5"/>
      <c r="Q194" s="181"/>
    </row>
    <row r="195" spans="12:17">
      <c r="L195" s="193"/>
      <c r="M195" s="194"/>
      <c r="N195" s="195"/>
      <c r="O195" s="196"/>
      <c r="P195" s="5"/>
      <c r="Q195" s="181"/>
    </row>
    <row r="196" spans="12:17">
      <c r="L196" s="193"/>
      <c r="M196" s="194"/>
      <c r="N196" s="195"/>
      <c r="O196" s="196"/>
      <c r="P196" s="5"/>
      <c r="Q196" s="181"/>
    </row>
    <row r="197" spans="12:17">
      <c r="L197" s="193"/>
      <c r="M197" s="194"/>
      <c r="N197" s="195"/>
      <c r="O197" s="196"/>
      <c r="P197" s="5"/>
      <c r="Q197" s="181"/>
    </row>
    <row r="198" spans="12:17">
      <c r="L198" s="193"/>
      <c r="M198" s="194"/>
      <c r="N198" s="195"/>
      <c r="O198" s="196"/>
      <c r="P198" s="5"/>
      <c r="Q198" s="181"/>
    </row>
    <row r="199" spans="12:17">
      <c r="L199" s="193"/>
      <c r="M199" s="194"/>
      <c r="N199" s="195"/>
      <c r="O199" s="196"/>
      <c r="P199" s="5"/>
      <c r="Q199" s="181"/>
    </row>
    <row r="200" spans="12:17">
      <c r="L200" s="193"/>
      <c r="M200" s="194"/>
      <c r="N200" s="195"/>
      <c r="O200" s="196"/>
      <c r="P200" s="5"/>
      <c r="Q200" s="181"/>
    </row>
    <row r="201" spans="12:17">
      <c r="L201" s="193"/>
      <c r="M201" s="194"/>
      <c r="N201" s="195"/>
      <c r="O201" s="196"/>
      <c r="P201" s="5"/>
      <c r="Q201" s="181"/>
    </row>
    <row r="202" spans="12:17">
      <c r="L202" s="193"/>
      <c r="M202" s="194"/>
      <c r="N202" s="195"/>
      <c r="O202" s="196"/>
      <c r="P202" s="5"/>
      <c r="Q202" s="181"/>
    </row>
    <row r="203" spans="12:17">
      <c r="L203" s="193"/>
      <c r="M203" s="194"/>
      <c r="N203" s="195"/>
      <c r="O203" s="196"/>
      <c r="P203" s="5"/>
      <c r="Q203" s="181"/>
    </row>
    <row r="204" spans="12:17">
      <c r="L204" s="193"/>
      <c r="M204" s="194"/>
      <c r="N204" s="195"/>
      <c r="O204" s="196"/>
      <c r="P204" s="5"/>
      <c r="Q204" s="181"/>
    </row>
    <row r="205" spans="12:17">
      <c r="L205" s="193"/>
      <c r="M205" s="194"/>
      <c r="N205" s="195"/>
      <c r="O205" s="196"/>
      <c r="P205" s="5"/>
      <c r="Q205" s="181"/>
    </row>
    <row r="206" spans="12:17">
      <c r="L206" s="193"/>
      <c r="M206" s="194"/>
      <c r="N206" s="195"/>
      <c r="O206" s="196"/>
      <c r="P206" s="5"/>
      <c r="Q206" s="181"/>
    </row>
    <row r="207" spans="12:17">
      <c r="L207" s="193"/>
      <c r="M207" s="194"/>
      <c r="N207" s="195"/>
      <c r="O207" s="196"/>
      <c r="P207" s="5"/>
      <c r="Q207" s="181"/>
    </row>
    <row r="208" spans="12:17">
      <c r="L208" s="193"/>
      <c r="M208" s="194"/>
      <c r="N208" s="195"/>
      <c r="O208" s="196"/>
      <c r="P208" s="5"/>
      <c r="Q208" s="181"/>
    </row>
    <row r="209" spans="12:17">
      <c r="L209" s="193"/>
      <c r="M209" s="194"/>
      <c r="N209" s="195"/>
      <c r="O209" s="196"/>
      <c r="P209" s="5"/>
      <c r="Q209" s="181"/>
    </row>
    <row r="210" spans="12:17">
      <c r="L210" s="193"/>
      <c r="M210" s="194"/>
      <c r="N210" s="195"/>
      <c r="O210" s="196"/>
      <c r="P210" s="5"/>
      <c r="Q210" s="181"/>
    </row>
    <row r="211" spans="12:17">
      <c r="L211" s="193"/>
      <c r="M211" s="194"/>
      <c r="N211" s="195"/>
      <c r="O211" s="196"/>
      <c r="P211" s="5"/>
      <c r="Q211" s="181"/>
    </row>
    <row r="212" spans="12:17">
      <c r="L212" s="193"/>
      <c r="M212" s="194"/>
      <c r="N212" s="195"/>
      <c r="O212" s="196"/>
      <c r="P212" s="5"/>
      <c r="Q212" s="181"/>
    </row>
    <row r="213" spans="12:17">
      <c r="L213" s="193"/>
      <c r="M213" s="194"/>
      <c r="N213" s="195"/>
      <c r="O213" s="196"/>
      <c r="P213" s="5"/>
      <c r="Q213" s="181"/>
    </row>
    <row r="214" spans="12:17">
      <c r="L214" s="193"/>
      <c r="M214" s="194"/>
      <c r="N214" s="195"/>
      <c r="O214" s="196"/>
      <c r="P214" s="5"/>
      <c r="Q214" s="181"/>
    </row>
    <row r="215" spans="12:17">
      <c r="L215" s="193"/>
      <c r="M215" s="194"/>
      <c r="N215" s="195"/>
      <c r="O215" s="196"/>
      <c r="P215" s="5"/>
      <c r="Q215" s="181"/>
    </row>
    <row r="216" spans="12:17">
      <c r="L216" s="193"/>
      <c r="M216" s="194"/>
      <c r="N216" s="195"/>
      <c r="O216" s="196"/>
      <c r="P216" s="5"/>
      <c r="Q216" s="181"/>
    </row>
    <row r="217" spans="12:17">
      <c r="L217" s="193"/>
      <c r="M217" s="194"/>
      <c r="N217" s="195"/>
      <c r="O217" s="196"/>
      <c r="P217" s="5"/>
      <c r="Q217" s="181"/>
    </row>
    <row r="218" spans="12:17">
      <c r="L218" s="193"/>
      <c r="M218" s="194"/>
      <c r="N218" s="195"/>
      <c r="O218" s="196"/>
      <c r="P218" s="5"/>
      <c r="Q218" s="181"/>
    </row>
    <row r="219" spans="12:17">
      <c r="L219" s="193"/>
      <c r="M219" s="194"/>
      <c r="N219" s="195"/>
      <c r="O219" s="196"/>
      <c r="P219" s="5"/>
      <c r="Q219" s="181"/>
    </row>
    <row r="220" spans="12:17">
      <c r="L220" s="193"/>
      <c r="M220" s="194"/>
      <c r="N220" s="195"/>
      <c r="O220" s="196"/>
      <c r="P220" s="5"/>
      <c r="Q220" s="181"/>
    </row>
    <row r="221" spans="12:17">
      <c r="L221" s="193"/>
      <c r="M221" s="194"/>
      <c r="N221" s="195"/>
      <c r="O221" s="196"/>
      <c r="P221" s="5"/>
      <c r="Q221" s="181"/>
    </row>
    <row r="222" spans="12:17">
      <c r="L222" s="193"/>
      <c r="M222" s="194"/>
      <c r="N222" s="195"/>
      <c r="O222" s="196"/>
      <c r="P222" s="5"/>
      <c r="Q222" s="181"/>
    </row>
    <row r="223" spans="12:17">
      <c r="L223" s="193"/>
      <c r="M223" s="194"/>
      <c r="N223" s="195"/>
      <c r="O223" s="196"/>
      <c r="P223" s="5"/>
      <c r="Q223" s="181"/>
    </row>
    <row r="224" spans="12:17">
      <c r="L224" s="193"/>
      <c r="M224" s="194"/>
      <c r="N224" s="195"/>
      <c r="O224" s="196"/>
      <c r="P224" s="5"/>
      <c r="Q224" s="181"/>
    </row>
    <row r="225" spans="12:17">
      <c r="L225" s="193"/>
      <c r="M225" s="194"/>
      <c r="N225" s="195"/>
      <c r="O225" s="196"/>
      <c r="P225" s="5"/>
      <c r="Q225" s="181"/>
    </row>
    <row r="226" spans="12:17">
      <c r="L226" s="193"/>
      <c r="M226" s="194"/>
      <c r="N226" s="195"/>
      <c r="O226" s="196"/>
      <c r="P226" s="5"/>
      <c r="Q226" s="181"/>
    </row>
    <row r="227" spans="12:17">
      <c r="L227" s="193"/>
      <c r="M227" s="194"/>
      <c r="N227" s="195"/>
      <c r="O227" s="196"/>
      <c r="P227" s="5"/>
      <c r="Q227" s="181"/>
    </row>
    <row r="228" spans="12:17">
      <c r="L228" s="193"/>
      <c r="M228" s="194"/>
      <c r="N228" s="195"/>
      <c r="O228" s="196"/>
      <c r="P228" s="5"/>
      <c r="Q228" s="181"/>
    </row>
    <row r="229" spans="12:17">
      <c r="L229" s="193"/>
      <c r="M229" s="194"/>
      <c r="N229" s="195"/>
      <c r="O229" s="196"/>
      <c r="P229" s="5"/>
      <c r="Q229" s="181"/>
    </row>
    <row r="230" spans="12:17">
      <c r="L230" s="193"/>
      <c r="M230" s="194"/>
      <c r="N230" s="195"/>
      <c r="O230" s="196"/>
      <c r="P230" s="5"/>
      <c r="Q230" s="181"/>
    </row>
    <row r="231" spans="12:17">
      <c r="L231" s="193"/>
      <c r="M231" s="194"/>
      <c r="N231" s="195"/>
      <c r="O231" s="196"/>
      <c r="P231" s="5"/>
      <c r="Q231" s="181"/>
    </row>
    <row r="232" spans="12:17">
      <c r="L232" s="193"/>
      <c r="M232" s="194"/>
      <c r="N232" s="195"/>
      <c r="O232" s="196"/>
      <c r="P232" s="5"/>
      <c r="Q232" s="181"/>
    </row>
    <row r="233" spans="12:17">
      <c r="L233" s="193"/>
      <c r="M233" s="194"/>
      <c r="N233" s="195"/>
      <c r="O233" s="196"/>
      <c r="P233" s="5"/>
      <c r="Q233" s="181"/>
    </row>
    <row r="234" spans="12:17">
      <c r="L234" s="193"/>
      <c r="M234" s="194"/>
      <c r="N234" s="195"/>
      <c r="O234" s="196"/>
      <c r="P234" s="5"/>
      <c r="Q234" s="181"/>
    </row>
    <row r="235" spans="12:17">
      <c r="L235" s="193"/>
      <c r="M235" s="194"/>
      <c r="N235" s="195"/>
      <c r="O235" s="196"/>
      <c r="P235" s="5"/>
      <c r="Q235" s="181"/>
    </row>
    <row r="236" spans="12:17">
      <c r="L236" s="193"/>
      <c r="M236" s="194"/>
      <c r="N236" s="195"/>
      <c r="O236" s="196"/>
      <c r="P236" s="5"/>
      <c r="Q236" s="181"/>
    </row>
    <row r="237" spans="12:17">
      <c r="L237" s="193"/>
      <c r="M237" s="194"/>
      <c r="N237" s="195"/>
      <c r="O237" s="196"/>
      <c r="P237" s="5"/>
      <c r="Q237" s="181"/>
    </row>
    <row r="238" spans="12:17">
      <c r="L238" s="193"/>
      <c r="M238" s="194"/>
      <c r="N238" s="195"/>
      <c r="O238" s="196"/>
      <c r="P238" s="5"/>
      <c r="Q238" s="181"/>
    </row>
    <row r="239" spans="12:17">
      <c r="L239" s="193"/>
      <c r="M239" s="194"/>
      <c r="N239" s="195"/>
      <c r="O239" s="196"/>
      <c r="P239" s="5"/>
      <c r="Q239" s="181"/>
    </row>
    <row r="240" spans="12:17">
      <c r="L240" s="193"/>
      <c r="M240" s="194"/>
      <c r="N240" s="195"/>
      <c r="O240" s="196"/>
      <c r="P240" s="5"/>
      <c r="Q240" s="181"/>
    </row>
    <row r="241" spans="12:17">
      <c r="L241" s="193"/>
      <c r="M241" s="194"/>
      <c r="N241" s="195"/>
      <c r="O241" s="196"/>
      <c r="P241" s="5"/>
      <c r="Q241" s="181"/>
    </row>
    <row r="242" spans="12:17">
      <c r="L242" s="193"/>
      <c r="M242" s="194"/>
      <c r="N242" s="195"/>
      <c r="O242" s="196"/>
      <c r="P242" s="5"/>
      <c r="Q242" s="181"/>
    </row>
    <row r="243" spans="12:17">
      <c r="L243" s="193"/>
      <c r="M243" s="194"/>
      <c r="N243" s="195"/>
      <c r="O243" s="196"/>
      <c r="P243" s="5"/>
      <c r="Q243" s="181"/>
    </row>
    <row r="244" spans="12:17">
      <c r="L244" s="193"/>
      <c r="M244" s="194"/>
      <c r="N244" s="195"/>
      <c r="O244" s="196"/>
      <c r="P244" s="5"/>
      <c r="Q244" s="181"/>
    </row>
    <row r="245" spans="12:17">
      <c r="L245" s="193"/>
      <c r="M245" s="194"/>
      <c r="N245" s="195"/>
      <c r="O245" s="196"/>
      <c r="P245" s="5"/>
      <c r="Q245" s="181"/>
    </row>
    <row r="246" spans="12:17">
      <c r="L246" s="193"/>
      <c r="M246" s="194"/>
      <c r="N246" s="195"/>
      <c r="O246" s="196"/>
      <c r="P246" s="5"/>
      <c r="Q246" s="181"/>
    </row>
    <row r="247" spans="12:17">
      <c r="L247" s="193"/>
      <c r="M247" s="194"/>
      <c r="N247" s="195"/>
      <c r="O247" s="196"/>
      <c r="P247" s="5"/>
      <c r="Q247" s="181"/>
    </row>
    <row r="248" spans="12:17">
      <c r="L248" s="193"/>
      <c r="M248" s="194"/>
      <c r="N248" s="195"/>
      <c r="O248" s="196"/>
      <c r="P248" s="5"/>
      <c r="Q248" s="181"/>
    </row>
    <row r="249" spans="12:17">
      <c r="L249" s="193"/>
      <c r="M249" s="194"/>
      <c r="N249" s="195"/>
      <c r="O249" s="196"/>
      <c r="P249" s="5"/>
      <c r="Q249" s="181"/>
    </row>
    <row r="250" spans="12:17">
      <c r="L250" s="193"/>
      <c r="M250" s="194"/>
      <c r="N250" s="195"/>
      <c r="O250" s="196"/>
      <c r="P250" s="5"/>
      <c r="Q250" s="181"/>
    </row>
    <row r="251" spans="12:17">
      <c r="L251" s="193"/>
      <c r="M251" s="194"/>
      <c r="N251" s="195"/>
      <c r="O251" s="196"/>
      <c r="P251" s="5"/>
      <c r="Q251" s="181"/>
    </row>
    <row r="252" spans="12:17">
      <c r="L252" s="193"/>
      <c r="M252" s="194"/>
      <c r="N252" s="195"/>
      <c r="O252" s="196"/>
      <c r="P252" s="5"/>
      <c r="Q252" s="181"/>
    </row>
    <row r="253" spans="12:17">
      <c r="L253" s="193"/>
      <c r="M253" s="194"/>
      <c r="N253" s="195"/>
      <c r="O253" s="196"/>
      <c r="P253" s="5"/>
      <c r="Q253" s="181"/>
    </row>
    <row r="254" spans="12:17">
      <c r="L254" s="193"/>
      <c r="M254" s="194"/>
      <c r="N254" s="195"/>
      <c r="O254" s="196"/>
      <c r="P254" s="5"/>
      <c r="Q254" s="181"/>
    </row>
    <row r="255" spans="12:17">
      <c r="L255" s="193"/>
      <c r="M255" s="194"/>
      <c r="N255" s="195"/>
      <c r="O255" s="196"/>
      <c r="P255" s="5"/>
      <c r="Q255" s="181"/>
    </row>
    <row r="256" spans="12:17">
      <c r="L256" s="193"/>
      <c r="M256" s="194"/>
      <c r="N256" s="195"/>
      <c r="O256" s="196"/>
      <c r="P256" s="5"/>
      <c r="Q256" s="181"/>
    </row>
    <row r="257" spans="12:17">
      <c r="L257" s="193"/>
      <c r="M257" s="194"/>
      <c r="N257" s="195"/>
      <c r="O257" s="196"/>
      <c r="P257" s="5"/>
      <c r="Q257" s="181"/>
    </row>
    <row r="258" spans="12:17">
      <c r="L258" s="193"/>
      <c r="M258" s="194"/>
      <c r="N258" s="195"/>
      <c r="O258" s="196"/>
      <c r="P258" s="5"/>
      <c r="Q258" s="181"/>
    </row>
    <row r="259" spans="12:17">
      <c r="L259" s="193"/>
      <c r="M259" s="194"/>
      <c r="N259" s="195"/>
      <c r="O259" s="196"/>
      <c r="P259" s="5"/>
      <c r="Q259" s="181"/>
    </row>
    <row r="260" spans="12:17">
      <c r="L260" s="193"/>
      <c r="M260" s="194"/>
      <c r="N260" s="195"/>
      <c r="O260" s="196"/>
      <c r="P260" s="5"/>
      <c r="Q260" s="181"/>
    </row>
    <row r="261" spans="12:17">
      <c r="L261" s="193"/>
      <c r="M261" s="194"/>
      <c r="N261" s="195"/>
      <c r="O261" s="196"/>
      <c r="P261" s="5"/>
      <c r="Q261" s="181"/>
    </row>
    <row r="262" spans="12:17">
      <c r="L262" s="193"/>
      <c r="M262" s="194"/>
      <c r="N262" s="195"/>
      <c r="O262" s="196"/>
      <c r="P262" s="5"/>
      <c r="Q262" s="181"/>
    </row>
    <row r="263" spans="12:17">
      <c r="L263" s="193"/>
      <c r="M263" s="194"/>
      <c r="N263" s="195"/>
      <c r="O263" s="196"/>
      <c r="P263" s="5"/>
      <c r="Q263" s="181"/>
    </row>
    <row r="264" spans="12:17">
      <c r="L264" s="193"/>
      <c r="M264" s="194"/>
      <c r="N264" s="195"/>
      <c r="O264" s="196"/>
      <c r="P264" s="5"/>
      <c r="Q264" s="181"/>
    </row>
    <row r="265" spans="12:17">
      <c r="L265" s="193"/>
      <c r="M265" s="194"/>
      <c r="N265" s="195"/>
      <c r="O265" s="196"/>
      <c r="P265" s="5"/>
      <c r="Q265" s="181"/>
    </row>
    <row r="266" spans="12:17">
      <c r="L266" s="193"/>
      <c r="M266" s="194"/>
      <c r="N266" s="195"/>
      <c r="O266" s="196"/>
      <c r="P266" s="5"/>
      <c r="Q266" s="181"/>
    </row>
    <row r="267" spans="12:17">
      <c r="L267" s="193"/>
      <c r="M267" s="194"/>
      <c r="N267" s="195"/>
      <c r="O267" s="196"/>
      <c r="P267" s="5"/>
      <c r="Q267" s="181"/>
    </row>
    <row r="268" spans="12:17">
      <c r="L268" s="193"/>
      <c r="M268" s="194"/>
      <c r="N268" s="195"/>
      <c r="O268" s="196"/>
      <c r="P268" s="5"/>
      <c r="Q268" s="181"/>
    </row>
    <row r="269" spans="12:17">
      <c r="L269" s="193"/>
      <c r="M269" s="194"/>
      <c r="N269" s="195"/>
      <c r="O269" s="196"/>
      <c r="P269" s="5"/>
      <c r="Q269" s="181"/>
    </row>
    <row r="270" spans="12:17">
      <c r="L270" s="193"/>
      <c r="M270" s="194"/>
      <c r="N270" s="195"/>
      <c r="O270" s="196"/>
      <c r="P270" s="5"/>
      <c r="Q270" s="181"/>
    </row>
    <row r="271" spans="12:17">
      <c r="L271" s="193"/>
      <c r="M271" s="194"/>
      <c r="N271" s="195"/>
      <c r="O271" s="196"/>
      <c r="P271" s="5"/>
      <c r="Q271" s="181"/>
    </row>
    <row r="272" spans="12:17">
      <c r="L272" s="193"/>
      <c r="M272" s="194"/>
      <c r="N272" s="195"/>
      <c r="O272" s="196"/>
      <c r="P272" s="5"/>
      <c r="Q272" s="181"/>
    </row>
    <row r="273" spans="12:17">
      <c r="L273" s="193"/>
      <c r="M273" s="194"/>
      <c r="N273" s="195"/>
      <c r="O273" s="196"/>
      <c r="P273" s="5"/>
      <c r="Q273" s="181"/>
    </row>
    <row r="274" spans="12:17">
      <c r="L274" s="193"/>
      <c r="M274" s="194"/>
      <c r="N274" s="195"/>
      <c r="O274" s="196"/>
      <c r="P274" s="5"/>
      <c r="Q274" s="181"/>
    </row>
    <row r="275" spans="12:17">
      <c r="L275" s="193"/>
      <c r="M275" s="194"/>
      <c r="N275" s="195"/>
      <c r="O275" s="196"/>
      <c r="P275" s="5"/>
      <c r="Q275" s="181"/>
    </row>
    <row r="276" spans="12:17">
      <c r="L276" s="193"/>
      <c r="M276" s="194"/>
      <c r="N276" s="195"/>
      <c r="O276" s="196"/>
      <c r="P276" s="5"/>
      <c r="Q276" s="181"/>
    </row>
    <row r="277" spans="12:17">
      <c r="L277" s="193"/>
      <c r="M277" s="194"/>
      <c r="N277" s="195"/>
      <c r="O277" s="196"/>
      <c r="P277" s="5"/>
      <c r="Q277" s="181"/>
    </row>
    <row r="278" spans="12:17">
      <c r="L278" s="193"/>
      <c r="M278" s="194"/>
      <c r="N278" s="195"/>
      <c r="O278" s="196"/>
      <c r="P278" s="5"/>
      <c r="Q278" s="181"/>
    </row>
    <row r="279" spans="12:17">
      <c r="L279" s="193"/>
      <c r="M279" s="194"/>
      <c r="N279" s="195"/>
      <c r="O279" s="196"/>
      <c r="P279" s="5"/>
      <c r="Q279" s="181"/>
    </row>
    <row r="280" spans="12:17">
      <c r="L280" s="193"/>
      <c r="M280" s="194"/>
      <c r="N280" s="195"/>
      <c r="O280" s="196"/>
      <c r="P280" s="5"/>
      <c r="Q280" s="181"/>
    </row>
    <row r="281" spans="12:17">
      <c r="L281" s="193"/>
      <c r="M281" s="194"/>
      <c r="N281" s="195"/>
      <c r="O281" s="196"/>
      <c r="P281" s="5"/>
      <c r="Q281" s="181"/>
    </row>
    <row r="282" spans="12:17">
      <c r="L282" s="193"/>
      <c r="M282" s="194"/>
      <c r="N282" s="195"/>
      <c r="O282" s="196"/>
      <c r="P282" s="5"/>
      <c r="Q282" s="181"/>
    </row>
    <row r="283" spans="12:17">
      <c r="L283" s="193"/>
      <c r="M283" s="194"/>
      <c r="N283" s="195"/>
      <c r="O283" s="196"/>
      <c r="P283" s="5"/>
      <c r="Q283" s="181"/>
    </row>
    <row r="284" spans="12:17">
      <c r="L284" s="193"/>
      <c r="M284" s="194"/>
      <c r="N284" s="195"/>
      <c r="O284" s="196"/>
      <c r="P284" s="5"/>
      <c r="Q284" s="181"/>
    </row>
    <row r="285" spans="12:17">
      <c r="L285" s="193"/>
      <c r="M285" s="194"/>
      <c r="N285" s="195"/>
      <c r="O285" s="196"/>
      <c r="P285" s="5"/>
      <c r="Q285" s="181"/>
    </row>
    <row r="286" spans="12:17">
      <c r="L286" s="193"/>
      <c r="M286" s="194"/>
      <c r="N286" s="195"/>
      <c r="O286" s="196"/>
      <c r="P286" s="5"/>
      <c r="Q286" s="181"/>
    </row>
    <row r="287" spans="12:17">
      <c r="L287" s="193"/>
      <c r="M287" s="194"/>
      <c r="N287" s="195"/>
      <c r="O287" s="196"/>
      <c r="P287" s="5"/>
      <c r="Q287" s="181"/>
    </row>
    <row r="288" spans="12:17">
      <c r="L288" s="193"/>
      <c r="M288" s="194"/>
      <c r="N288" s="195"/>
      <c r="O288" s="196"/>
      <c r="P288" s="5"/>
      <c r="Q288" s="181"/>
    </row>
    <row r="289" spans="12:17">
      <c r="L289" s="193"/>
      <c r="M289" s="194"/>
      <c r="N289" s="195"/>
      <c r="O289" s="196"/>
      <c r="P289" s="5"/>
      <c r="Q289" s="181"/>
    </row>
    <row r="290" spans="12:17">
      <c r="L290" s="193"/>
      <c r="M290" s="194"/>
      <c r="N290" s="195"/>
      <c r="O290" s="196"/>
      <c r="P290" s="5"/>
      <c r="Q290" s="181"/>
    </row>
    <row r="291" spans="12:17">
      <c r="L291" s="193"/>
      <c r="M291" s="194"/>
      <c r="N291" s="195"/>
      <c r="O291" s="196"/>
      <c r="P291" s="5"/>
      <c r="Q291" s="181"/>
    </row>
    <row r="292" spans="12:17">
      <c r="L292" s="193"/>
      <c r="M292" s="194"/>
      <c r="N292" s="195"/>
      <c r="O292" s="196"/>
      <c r="P292" s="5"/>
      <c r="Q292" s="181"/>
    </row>
    <row r="293" spans="12:17">
      <c r="L293" s="193"/>
      <c r="M293" s="194"/>
      <c r="N293" s="195"/>
      <c r="O293" s="196"/>
      <c r="P293" s="5"/>
      <c r="Q293" s="181"/>
    </row>
    <row r="294" spans="12:17">
      <c r="L294" s="193"/>
      <c r="M294" s="194"/>
      <c r="N294" s="195"/>
      <c r="O294" s="196"/>
      <c r="P294" s="5"/>
      <c r="Q294" s="181"/>
    </row>
    <row r="295" spans="12:17">
      <c r="L295" s="193"/>
      <c r="M295" s="194"/>
      <c r="N295" s="195"/>
      <c r="O295" s="196"/>
      <c r="P295" s="5"/>
      <c r="Q295" s="181"/>
    </row>
    <row r="296" spans="12:17">
      <c r="L296" s="193"/>
      <c r="M296" s="194"/>
      <c r="N296" s="195"/>
      <c r="O296" s="196"/>
      <c r="P296" s="5"/>
      <c r="Q296" s="181"/>
    </row>
    <row r="297" spans="12:17">
      <c r="L297" s="193"/>
      <c r="M297" s="194"/>
      <c r="N297" s="195"/>
      <c r="O297" s="196"/>
      <c r="P297" s="5"/>
      <c r="Q297" s="181"/>
    </row>
    <row r="298" spans="12:17">
      <c r="L298" s="193"/>
      <c r="M298" s="194"/>
      <c r="N298" s="195"/>
      <c r="O298" s="196"/>
      <c r="P298" s="5"/>
      <c r="Q298" s="181"/>
    </row>
    <row r="299" spans="12:17">
      <c r="L299" s="193"/>
      <c r="M299" s="194"/>
      <c r="N299" s="195"/>
      <c r="O299" s="196"/>
      <c r="P299" s="5"/>
      <c r="Q299" s="181"/>
    </row>
    <row r="300" spans="12:17">
      <c r="L300" s="193"/>
      <c r="M300" s="194"/>
      <c r="N300" s="195"/>
      <c r="O300" s="196"/>
      <c r="P300" s="5"/>
      <c r="Q300" s="181"/>
    </row>
    <row r="301" spans="12:17">
      <c r="L301" s="193"/>
      <c r="M301" s="194"/>
      <c r="N301" s="195"/>
      <c r="O301" s="196"/>
      <c r="P301" s="5"/>
      <c r="Q301" s="181"/>
    </row>
    <row r="302" spans="12:17">
      <c r="L302" s="193"/>
      <c r="M302" s="194"/>
      <c r="N302" s="195"/>
      <c r="O302" s="196"/>
      <c r="P302" s="5"/>
      <c r="Q302" s="181"/>
    </row>
    <row r="303" spans="12:17">
      <c r="L303" s="193"/>
      <c r="M303" s="194"/>
      <c r="N303" s="195"/>
      <c r="O303" s="196"/>
      <c r="P303" s="5"/>
      <c r="Q303" s="181"/>
    </row>
    <row r="304" spans="12:17">
      <c r="L304" s="193"/>
      <c r="M304" s="194"/>
      <c r="N304" s="195"/>
      <c r="O304" s="196"/>
      <c r="P304" s="5"/>
      <c r="Q304" s="181"/>
    </row>
    <row r="305" spans="12:17">
      <c r="L305" s="193"/>
      <c r="M305" s="194"/>
      <c r="N305" s="195"/>
      <c r="O305" s="196"/>
      <c r="P305" s="5"/>
      <c r="Q305" s="181"/>
    </row>
    <row r="306" spans="12:17">
      <c r="L306" s="193"/>
      <c r="M306" s="194"/>
      <c r="N306" s="195"/>
      <c r="O306" s="196"/>
      <c r="P306" s="5"/>
      <c r="Q306" s="181"/>
    </row>
    <row r="307" spans="12:17">
      <c r="L307" s="193"/>
      <c r="M307" s="194"/>
      <c r="N307" s="195"/>
      <c r="O307" s="196"/>
      <c r="P307" s="5"/>
      <c r="Q307" s="181"/>
    </row>
    <row r="308" spans="12:17">
      <c r="L308" s="193"/>
      <c r="M308" s="194"/>
      <c r="N308" s="195"/>
      <c r="O308" s="196"/>
      <c r="P308" s="5"/>
      <c r="Q308" s="181"/>
    </row>
    <row r="309" spans="12:17">
      <c r="L309" s="193"/>
      <c r="M309" s="194"/>
      <c r="N309" s="195"/>
      <c r="O309" s="196"/>
      <c r="P309" s="5"/>
      <c r="Q309" s="181"/>
    </row>
    <row r="310" spans="12:17">
      <c r="L310" s="193"/>
      <c r="M310" s="194"/>
      <c r="N310" s="195"/>
      <c r="O310" s="196"/>
      <c r="P310" s="5"/>
      <c r="Q310" s="181"/>
    </row>
    <row r="311" spans="12:17">
      <c r="L311" s="193"/>
      <c r="M311" s="194"/>
      <c r="N311" s="195"/>
      <c r="O311" s="196"/>
      <c r="P311" s="5"/>
      <c r="Q311" s="181"/>
    </row>
    <row r="312" spans="12:17">
      <c r="L312" s="193"/>
      <c r="M312" s="194"/>
      <c r="N312" s="195"/>
      <c r="O312" s="196"/>
      <c r="P312" s="5"/>
      <c r="Q312" s="181"/>
    </row>
    <row r="313" spans="12:17">
      <c r="L313" s="193"/>
      <c r="M313" s="194"/>
      <c r="N313" s="195"/>
      <c r="O313" s="196"/>
      <c r="P313" s="5"/>
      <c r="Q313" s="181"/>
    </row>
    <row r="314" spans="12:17">
      <c r="L314" s="193"/>
      <c r="M314" s="194"/>
      <c r="N314" s="195"/>
      <c r="O314" s="196"/>
      <c r="P314" s="5"/>
      <c r="Q314" s="181"/>
    </row>
    <row r="315" spans="12:17">
      <c r="L315" s="193"/>
      <c r="M315" s="194"/>
      <c r="N315" s="195"/>
      <c r="O315" s="196"/>
      <c r="P315" s="5"/>
      <c r="Q315" s="181"/>
    </row>
    <row r="316" spans="12:17">
      <c r="L316" s="193"/>
      <c r="M316" s="194"/>
      <c r="N316" s="195"/>
      <c r="O316" s="196"/>
      <c r="P316" s="5"/>
      <c r="Q316" s="181"/>
    </row>
    <row r="317" spans="12:17">
      <c r="L317" s="193"/>
      <c r="M317" s="194"/>
      <c r="N317" s="195"/>
      <c r="O317" s="196"/>
      <c r="P317" s="5"/>
      <c r="Q317" s="181"/>
    </row>
    <row r="318" spans="12:17">
      <c r="L318" s="193"/>
      <c r="M318" s="194"/>
      <c r="N318" s="195"/>
      <c r="O318" s="196"/>
      <c r="P318" s="5"/>
      <c r="Q318" s="181"/>
    </row>
    <row r="319" spans="12:17">
      <c r="L319" s="193"/>
      <c r="M319" s="194"/>
      <c r="N319" s="195"/>
      <c r="O319" s="196"/>
      <c r="P319" s="5"/>
      <c r="Q319" s="181"/>
    </row>
    <row r="320" spans="12:17">
      <c r="L320" s="193"/>
      <c r="M320" s="194"/>
      <c r="N320" s="195"/>
      <c r="O320" s="196"/>
      <c r="P320" s="5"/>
      <c r="Q320" s="181"/>
    </row>
    <row r="321" spans="12:17">
      <c r="L321" s="193"/>
      <c r="M321" s="194"/>
      <c r="N321" s="195"/>
      <c r="O321" s="196"/>
      <c r="P321" s="5"/>
      <c r="Q321" s="181"/>
    </row>
    <row r="322" spans="12:17">
      <c r="L322" s="193"/>
      <c r="M322" s="194"/>
      <c r="N322" s="195"/>
      <c r="O322" s="196"/>
      <c r="P322" s="5"/>
      <c r="Q322" s="181"/>
    </row>
    <row r="323" spans="12:17">
      <c r="L323" s="193"/>
      <c r="M323" s="194"/>
      <c r="N323" s="195"/>
      <c r="O323" s="196"/>
      <c r="P323" s="5"/>
      <c r="Q323" s="181"/>
    </row>
    <row r="324" spans="12:17">
      <c r="L324" s="193"/>
      <c r="M324" s="194"/>
      <c r="N324" s="195"/>
      <c r="O324" s="196"/>
      <c r="P324" s="5"/>
      <c r="Q324" s="181"/>
    </row>
    <row r="325" spans="12:17">
      <c r="L325" s="193"/>
      <c r="M325" s="194"/>
      <c r="N325" s="195"/>
      <c r="O325" s="196"/>
      <c r="P325" s="5"/>
      <c r="Q325" s="181"/>
    </row>
    <row r="326" spans="12:17">
      <c r="L326" s="193"/>
      <c r="M326" s="194"/>
      <c r="N326" s="195"/>
      <c r="O326" s="196"/>
      <c r="P326" s="5"/>
      <c r="Q326" s="181"/>
    </row>
    <row r="327" spans="12:17">
      <c r="L327" s="193"/>
      <c r="M327" s="194"/>
      <c r="N327" s="195"/>
      <c r="O327" s="196"/>
      <c r="P327" s="5"/>
      <c r="Q327" s="181"/>
    </row>
    <row r="328" spans="12:17">
      <c r="L328" s="193"/>
      <c r="M328" s="194"/>
      <c r="N328" s="195"/>
      <c r="O328" s="196"/>
      <c r="P328" s="5"/>
      <c r="Q328" s="181"/>
    </row>
    <row r="329" spans="12:17">
      <c r="L329" s="193"/>
      <c r="M329" s="194"/>
      <c r="N329" s="195"/>
      <c r="O329" s="196"/>
      <c r="P329" s="5"/>
      <c r="Q329" s="181"/>
    </row>
    <row r="330" spans="12:17">
      <c r="L330" s="193"/>
      <c r="M330" s="194"/>
      <c r="N330" s="195"/>
      <c r="O330" s="196"/>
      <c r="P330" s="5"/>
      <c r="Q330" s="181"/>
    </row>
    <row r="331" spans="12:17">
      <c r="L331" s="193"/>
      <c r="M331" s="194"/>
      <c r="N331" s="195"/>
      <c r="O331" s="196"/>
      <c r="P331" s="5"/>
      <c r="Q331" s="181"/>
    </row>
    <row r="332" spans="12:17">
      <c r="L332" s="193"/>
      <c r="M332" s="194"/>
      <c r="N332" s="195"/>
      <c r="O332" s="196"/>
      <c r="P332" s="5"/>
      <c r="Q332" s="181"/>
    </row>
    <row r="333" spans="12:17">
      <c r="L333" s="193"/>
      <c r="M333" s="194"/>
      <c r="N333" s="195"/>
      <c r="O333" s="196"/>
      <c r="P333" s="5"/>
      <c r="Q333" s="181"/>
    </row>
    <row r="334" spans="12:17">
      <c r="L334" s="193"/>
      <c r="M334" s="194"/>
      <c r="N334" s="195"/>
      <c r="O334" s="196"/>
      <c r="P334" s="5"/>
      <c r="Q334" s="181"/>
    </row>
    <row r="335" spans="12:17">
      <c r="L335" s="193"/>
      <c r="M335" s="194"/>
      <c r="N335" s="195"/>
      <c r="O335" s="196"/>
      <c r="P335" s="5"/>
      <c r="Q335" s="181"/>
    </row>
    <row r="336" spans="12:17">
      <c r="L336" s="193"/>
      <c r="M336" s="194"/>
      <c r="N336" s="195"/>
      <c r="O336" s="196"/>
      <c r="P336" s="5"/>
      <c r="Q336" s="181"/>
    </row>
    <row r="337" spans="12:17">
      <c r="L337" s="193"/>
      <c r="M337" s="194"/>
      <c r="N337" s="195"/>
      <c r="O337" s="196"/>
      <c r="P337" s="5"/>
      <c r="Q337" s="181"/>
    </row>
    <row r="338" spans="12:17">
      <c r="L338" s="193"/>
      <c r="M338" s="194"/>
      <c r="N338" s="195"/>
      <c r="O338" s="196"/>
      <c r="P338" s="5"/>
      <c r="Q338" s="181"/>
    </row>
    <row r="339" spans="12:17">
      <c r="L339" s="193"/>
      <c r="M339" s="194"/>
      <c r="N339" s="195"/>
      <c r="O339" s="196"/>
      <c r="P339" s="5"/>
      <c r="Q339" s="181"/>
    </row>
    <row r="340" spans="12:17">
      <c r="L340" s="193"/>
      <c r="M340" s="194"/>
      <c r="N340" s="195"/>
      <c r="O340" s="196"/>
      <c r="P340" s="5"/>
      <c r="Q340" s="181"/>
    </row>
    <row r="341" spans="12:17">
      <c r="L341" s="193"/>
      <c r="M341" s="194"/>
      <c r="N341" s="195"/>
      <c r="O341" s="196"/>
      <c r="P341" s="5"/>
      <c r="Q341" s="181"/>
    </row>
    <row r="342" spans="12:17">
      <c r="L342" s="193"/>
      <c r="M342" s="194"/>
      <c r="N342" s="195"/>
      <c r="O342" s="196"/>
      <c r="P342" s="5"/>
      <c r="Q342" s="181"/>
    </row>
    <row r="343" spans="12:17">
      <c r="L343" s="193"/>
      <c r="M343" s="194"/>
      <c r="N343" s="195"/>
      <c r="O343" s="196"/>
      <c r="P343" s="5"/>
      <c r="Q343" s="181"/>
    </row>
    <row r="344" spans="12:17">
      <c r="L344" s="193"/>
      <c r="M344" s="194"/>
      <c r="N344" s="195"/>
      <c r="O344" s="196"/>
      <c r="P344" s="5"/>
      <c r="Q344" s="181"/>
    </row>
    <row r="345" spans="12:17">
      <c r="L345" s="193"/>
      <c r="M345" s="194"/>
      <c r="N345" s="195"/>
      <c r="O345" s="196"/>
      <c r="P345" s="5"/>
      <c r="Q345" s="181"/>
    </row>
    <row r="346" spans="12:17">
      <c r="L346" s="193"/>
      <c r="M346" s="194"/>
      <c r="N346" s="195"/>
      <c r="O346" s="196"/>
      <c r="P346" s="5"/>
      <c r="Q346" s="181"/>
    </row>
    <row r="347" spans="12:17">
      <c r="L347" s="193"/>
      <c r="M347" s="194"/>
      <c r="N347" s="195"/>
      <c r="O347" s="196"/>
      <c r="P347" s="5"/>
      <c r="Q347" s="181"/>
    </row>
    <row r="348" spans="12:17">
      <c r="L348" s="193"/>
      <c r="M348" s="194"/>
      <c r="N348" s="195"/>
      <c r="O348" s="196"/>
      <c r="P348" s="5"/>
      <c r="Q348" s="181"/>
    </row>
    <row r="349" spans="12:17">
      <c r="L349" s="193"/>
      <c r="M349" s="194"/>
      <c r="N349" s="195"/>
      <c r="O349" s="196"/>
      <c r="P349" s="5"/>
      <c r="Q349" s="181"/>
    </row>
    <row r="350" spans="12:17">
      <c r="L350" s="193"/>
      <c r="M350" s="194"/>
      <c r="N350" s="195"/>
      <c r="O350" s="196"/>
      <c r="P350" s="5"/>
      <c r="Q350" s="181"/>
    </row>
    <row r="351" spans="12:17">
      <c r="L351" s="193"/>
      <c r="M351" s="194"/>
      <c r="N351" s="195"/>
      <c r="O351" s="196"/>
      <c r="P351" s="5"/>
      <c r="Q351" s="181"/>
    </row>
    <row r="352" spans="12:17">
      <c r="L352" s="193"/>
      <c r="M352" s="194"/>
      <c r="N352" s="195"/>
      <c r="O352" s="196"/>
      <c r="P352" s="5"/>
      <c r="Q352" s="181"/>
    </row>
    <row r="353" spans="12:17">
      <c r="L353" s="193"/>
      <c r="M353" s="194"/>
      <c r="N353" s="195"/>
      <c r="O353" s="196"/>
      <c r="P353" s="5"/>
      <c r="Q353" s="181"/>
    </row>
    <row r="354" spans="12:17">
      <c r="L354" s="193"/>
      <c r="M354" s="194"/>
      <c r="N354" s="195"/>
      <c r="O354" s="196"/>
      <c r="P354" s="5"/>
      <c r="Q354" s="181"/>
    </row>
    <row r="355" spans="12:17">
      <c r="L355" s="193"/>
      <c r="M355" s="194"/>
      <c r="N355" s="195"/>
      <c r="O355" s="196"/>
      <c r="P355" s="5"/>
      <c r="Q355" s="181"/>
    </row>
    <row r="356" spans="12:17">
      <c r="L356" s="193"/>
      <c r="M356" s="194"/>
      <c r="N356" s="195"/>
      <c r="O356" s="196"/>
      <c r="P356" s="5"/>
      <c r="Q356" s="181"/>
    </row>
    <row r="357" spans="12:17">
      <c r="L357" s="193"/>
      <c r="M357" s="194"/>
      <c r="N357" s="195"/>
      <c r="O357" s="196"/>
      <c r="P357" s="5"/>
      <c r="Q357" s="181"/>
    </row>
    <row r="358" spans="12:17">
      <c r="L358" s="193"/>
      <c r="M358" s="194"/>
      <c r="N358" s="195"/>
      <c r="O358" s="196"/>
      <c r="P358" s="5"/>
      <c r="Q358" s="181"/>
    </row>
    <row r="359" spans="12:17">
      <c r="L359" s="193"/>
      <c r="M359" s="194"/>
      <c r="N359" s="195"/>
      <c r="O359" s="196"/>
      <c r="P359" s="5"/>
      <c r="Q359" s="181"/>
    </row>
    <row r="360" spans="12:17">
      <c r="L360" s="193"/>
      <c r="M360" s="194"/>
      <c r="N360" s="195"/>
      <c r="O360" s="196"/>
      <c r="P360" s="5"/>
      <c r="Q360" s="181"/>
    </row>
    <row r="361" spans="12:17">
      <c r="L361" s="193"/>
      <c r="M361" s="194"/>
      <c r="N361" s="195"/>
      <c r="O361" s="196"/>
      <c r="P361" s="5"/>
      <c r="Q361" s="181"/>
    </row>
    <row r="362" spans="12:17">
      <c r="L362" s="193"/>
      <c r="M362" s="194"/>
      <c r="N362" s="195"/>
      <c r="O362" s="196"/>
      <c r="P362" s="5"/>
      <c r="Q362" s="181"/>
    </row>
    <row r="363" spans="12:17">
      <c r="L363" s="193"/>
      <c r="M363" s="194"/>
      <c r="N363" s="195"/>
      <c r="O363" s="196"/>
      <c r="P363" s="5"/>
      <c r="Q363" s="181"/>
    </row>
    <row r="364" spans="12:17">
      <c r="L364" s="193"/>
      <c r="M364" s="194"/>
      <c r="N364" s="195"/>
      <c r="O364" s="196"/>
      <c r="P364" s="5"/>
      <c r="Q364" s="181"/>
    </row>
    <row r="365" spans="12:17">
      <c r="L365" s="193"/>
      <c r="M365" s="194"/>
      <c r="N365" s="195"/>
      <c r="O365" s="196"/>
      <c r="P365" s="5"/>
      <c r="Q365" s="181"/>
    </row>
    <row r="366" spans="12:17">
      <c r="L366" s="193"/>
      <c r="M366" s="194"/>
      <c r="N366" s="195"/>
      <c r="O366" s="196"/>
      <c r="P366" s="5"/>
      <c r="Q366" s="181"/>
    </row>
    <row r="367" spans="12:17">
      <c r="L367" s="193"/>
      <c r="M367" s="194"/>
      <c r="N367" s="195"/>
      <c r="O367" s="196"/>
      <c r="P367" s="5"/>
      <c r="Q367" s="181"/>
    </row>
    <row r="368" spans="12:17">
      <c r="L368" s="193"/>
      <c r="M368" s="194"/>
      <c r="N368" s="195"/>
      <c r="O368" s="196"/>
      <c r="P368" s="5"/>
      <c r="Q368" s="181"/>
    </row>
    <row r="369" spans="12:17">
      <c r="L369" s="193"/>
      <c r="M369" s="194"/>
      <c r="N369" s="195"/>
      <c r="O369" s="196"/>
      <c r="P369" s="5"/>
      <c r="Q369" s="181"/>
    </row>
    <row r="370" spans="12:17">
      <c r="L370" s="193"/>
      <c r="M370" s="194"/>
      <c r="N370" s="195"/>
      <c r="O370" s="196"/>
      <c r="P370" s="5"/>
      <c r="Q370" s="181"/>
    </row>
    <row r="371" spans="12:17">
      <c r="L371" s="193"/>
      <c r="M371" s="194"/>
      <c r="N371" s="195"/>
      <c r="O371" s="196"/>
      <c r="P371" s="5"/>
      <c r="Q371" s="181"/>
    </row>
    <row r="372" spans="12:17">
      <c r="L372" s="193"/>
      <c r="M372" s="194"/>
      <c r="N372" s="195"/>
      <c r="O372" s="196"/>
      <c r="P372" s="5"/>
      <c r="Q372" s="181"/>
    </row>
    <row r="373" spans="12:17">
      <c r="L373" s="193"/>
      <c r="M373" s="194"/>
      <c r="N373" s="195"/>
      <c r="O373" s="196"/>
      <c r="P373" s="5"/>
      <c r="Q373" s="181"/>
    </row>
    <row r="374" spans="12:17">
      <c r="L374" s="193"/>
      <c r="M374" s="194"/>
      <c r="N374" s="195"/>
      <c r="O374" s="196"/>
      <c r="P374" s="5"/>
      <c r="Q374" s="181"/>
    </row>
    <row r="375" spans="12:17">
      <c r="L375" s="193"/>
      <c r="M375" s="194"/>
      <c r="N375" s="195"/>
      <c r="O375" s="196"/>
      <c r="P375" s="5"/>
      <c r="Q375" s="181"/>
    </row>
    <row r="376" spans="12:17">
      <c r="L376" s="193"/>
      <c r="M376" s="194"/>
      <c r="N376" s="195"/>
      <c r="O376" s="196"/>
      <c r="P376" s="5"/>
      <c r="Q376" s="181"/>
    </row>
    <row r="377" spans="12:17">
      <c r="L377" s="193"/>
      <c r="M377" s="194"/>
      <c r="N377" s="195"/>
      <c r="O377" s="196"/>
      <c r="P377" s="5"/>
      <c r="Q377" s="181"/>
    </row>
    <row r="378" spans="12:17">
      <c r="L378" s="193"/>
      <c r="M378" s="194"/>
      <c r="N378" s="195"/>
      <c r="O378" s="196"/>
      <c r="P378" s="5"/>
      <c r="Q378" s="181"/>
    </row>
    <row r="379" spans="12:17">
      <c r="L379" s="193"/>
      <c r="M379" s="194"/>
      <c r="N379" s="195"/>
      <c r="O379" s="196"/>
      <c r="P379" s="5"/>
      <c r="Q379" s="181"/>
    </row>
    <row r="380" spans="12:17">
      <c r="L380" s="193"/>
      <c r="M380" s="194"/>
      <c r="N380" s="195"/>
      <c r="O380" s="196"/>
      <c r="P380" s="5"/>
      <c r="Q380" s="181"/>
    </row>
    <row r="381" spans="12:17">
      <c r="L381" s="193"/>
      <c r="M381" s="194"/>
      <c r="N381" s="195"/>
      <c r="O381" s="196"/>
      <c r="P381" s="5"/>
      <c r="Q381" s="181"/>
    </row>
    <row r="382" spans="12:17">
      <c r="L382" s="193"/>
      <c r="M382" s="194"/>
      <c r="N382" s="195"/>
      <c r="O382" s="196"/>
      <c r="P382" s="5"/>
      <c r="Q382" s="181"/>
    </row>
    <row r="383" spans="12:17">
      <c r="L383" s="193"/>
      <c r="M383" s="194"/>
      <c r="N383" s="195"/>
      <c r="O383" s="196"/>
      <c r="P383" s="5"/>
      <c r="Q383" s="181"/>
    </row>
    <row r="384" spans="12:17">
      <c r="L384" s="193"/>
      <c r="M384" s="194"/>
      <c r="N384" s="195"/>
      <c r="O384" s="196"/>
      <c r="P384" s="5"/>
      <c r="Q384" s="181"/>
    </row>
    <row r="385" spans="12:17">
      <c r="L385" s="193"/>
      <c r="M385" s="194"/>
      <c r="N385" s="195"/>
      <c r="O385" s="196"/>
      <c r="P385" s="5"/>
      <c r="Q385" s="181"/>
    </row>
    <row r="386" spans="12:17">
      <c r="L386" s="193"/>
      <c r="M386" s="194"/>
      <c r="N386" s="195"/>
      <c r="O386" s="196"/>
      <c r="P386" s="5"/>
      <c r="Q386" s="181"/>
    </row>
    <row r="387" spans="12:17">
      <c r="L387" s="193"/>
      <c r="M387" s="194"/>
      <c r="N387" s="195"/>
      <c r="O387" s="196"/>
      <c r="P387" s="5"/>
      <c r="Q387" s="181"/>
    </row>
    <row r="388" spans="12:17">
      <c r="L388" s="193"/>
      <c r="M388" s="194"/>
      <c r="N388" s="195"/>
      <c r="O388" s="196"/>
      <c r="P388" s="5"/>
      <c r="Q388" s="181"/>
    </row>
    <row r="389" spans="12:17">
      <c r="L389" s="193"/>
      <c r="M389" s="194"/>
      <c r="N389" s="195"/>
      <c r="O389" s="196"/>
      <c r="P389" s="5"/>
      <c r="Q389" s="181"/>
    </row>
    <row r="390" spans="12:17">
      <c r="L390" s="193"/>
      <c r="M390" s="194"/>
      <c r="N390" s="195"/>
      <c r="O390" s="196"/>
      <c r="P390" s="5"/>
      <c r="Q390" s="181"/>
    </row>
    <row r="391" spans="12:17">
      <c r="L391" s="193"/>
      <c r="M391" s="194"/>
      <c r="N391" s="195"/>
      <c r="O391" s="196"/>
      <c r="P391" s="5"/>
      <c r="Q391" s="181"/>
    </row>
    <row r="392" spans="12:17">
      <c r="L392" s="193"/>
      <c r="M392" s="194"/>
      <c r="N392" s="195"/>
      <c r="O392" s="196"/>
      <c r="P392" s="5"/>
      <c r="Q392" s="181"/>
    </row>
    <row r="393" spans="12:17">
      <c r="L393" s="193"/>
      <c r="M393" s="194"/>
      <c r="N393" s="195"/>
      <c r="O393" s="196"/>
      <c r="P393" s="5"/>
      <c r="Q393" s="181"/>
    </row>
    <row r="394" spans="12:17">
      <c r="L394" s="193"/>
      <c r="M394" s="194"/>
      <c r="N394" s="195"/>
      <c r="O394" s="196"/>
      <c r="P394" s="5"/>
      <c r="Q394" s="181"/>
    </row>
    <row r="395" spans="12:17">
      <c r="L395" s="193"/>
      <c r="M395" s="194"/>
      <c r="N395" s="195"/>
      <c r="O395" s="196"/>
      <c r="P395" s="5"/>
      <c r="Q395" s="181"/>
    </row>
    <row r="396" spans="12:17">
      <c r="L396" s="193"/>
      <c r="M396" s="194"/>
      <c r="N396" s="195"/>
      <c r="O396" s="196"/>
      <c r="P396" s="5"/>
      <c r="Q396" s="181"/>
    </row>
    <row r="397" spans="12:17">
      <c r="L397" s="193"/>
      <c r="M397" s="194"/>
      <c r="N397" s="195"/>
      <c r="O397" s="196"/>
      <c r="P397" s="5"/>
      <c r="Q397" s="181"/>
    </row>
    <row r="398" spans="12:17">
      <c r="L398" s="193"/>
      <c r="M398" s="194"/>
      <c r="N398" s="195"/>
      <c r="O398" s="196"/>
      <c r="P398" s="5"/>
      <c r="Q398" s="181"/>
    </row>
    <row r="399" spans="12:17">
      <c r="L399" s="193"/>
      <c r="M399" s="194"/>
      <c r="N399" s="195"/>
      <c r="O399" s="196"/>
      <c r="P399" s="5"/>
      <c r="Q399" s="181"/>
    </row>
    <row r="400" spans="12:17">
      <c r="L400" s="193"/>
      <c r="M400" s="194"/>
      <c r="N400" s="195"/>
      <c r="O400" s="196"/>
      <c r="P400" s="5"/>
      <c r="Q400" s="181"/>
    </row>
    <row r="401" spans="12:17">
      <c r="L401" s="193"/>
      <c r="M401" s="194"/>
      <c r="N401" s="195"/>
      <c r="O401" s="196"/>
      <c r="P401" s="5"/>
      <c r="Q401" s="181"/>
    </row>
    <row r="402" spans="12:17">
      <c r="L402" s="193"/>
      <c r="M402" s="194"/>
      <c r="N402" s="195"/>
      <c r="O402" s="196"/>
      <c r="P402" s="5"/>
      <c r="Q402" s="181"/>
    </row>
    <row r="403" spans="12:17">
      <c r="L403" s="193"/>
      <c r="M403" s="194"/>
      <c r="N403" s="195"/>
      <c r="O403" s="196"/>
      <c r="P403" s="5"/>
      <c r="Q403" s="181"/>
    </row>
    <row r="404" spans="12:17">
      <c r="L404" s="193"/>
      <c r="M404" s="194"/>
      <c r="N404" s="195"/>
      <c r="O404" s="196"/>
      <c r="P404" s="5"/>
      <c r="Q404" s="181"/>
    </row>
    <row r="405" spans="12:17">
      <c r="L405" s="193"/>
      <c r="M405" s="194"/>
      <c r="N405" s="195"/>
      <c r="O405" s="196"/>
      <c r="P405" s="5"/>
      <c r="Q405" s="181"/>
    </row>
    <row r="406" spans="12:17">
      <c r="L406" s="193"/>
      <c r="M406" s="194"/>
      <c r="N406" s="195"/>
      <c r="O406" s="196"/>
      <c r="P406" s="5"/>
      <c r="Q406" s="181"/>
    </row>
    <row r="407" spans="12:17">
      <c r="L407" s="193"/>
      <c r="M407" s="194"/>
      <c r="N407" s="195"/>
      <c r="O407" s="196"/>
      <c r="P407" s="5"/>
      <c r="Q407" s="181"/>
    </row>
    <row r="408" spans="12:17">
      <c r="L408" s="193"/>
      <c r="M408" s="194"/>
      <c r="N408" s="195"/>
      <c r="O408" s="196"/>
      <c r="P408" s="5"/>
      <c r="Q408" s="181"/>
    </row>
    <row r="409" spans="12:17">
      <c r="L409" s="193"/>
      <c r="M409" s="194"/>
      <c r="N409" s="195"/>
      <c r="O409" s="196"/>
      <c r="P409" s="5"/>
      <c r="Q409" s="181"/>
    </row>
    <row r="410" spans="12:17">
      <c r="L410" s="193"/>
      <c r="M410" s="194"/>
      <c r="N410" s="195"/>
      <c r="O410" s="196"/>
      <c r="P410" s="5"/>
      <c r="Q410" s="181"/>
    </row>
    <row r="411" spans="12:17">
      <c r="L411" s="193"/>
      <c r="M411" s="194"/>
      <c r="N411" s="195"/>
      <c r="O411" s="196"/>
      <c r="P411" s="5"/>
      <c r="Q411" s="181"/>
    </row>
    <row r="412" spans="12:17">
      <c r="L412" s="193"/>
      <c r="M412" s="194"/>
      <c r="N412" s="195"/>
      <c r="O412" s="196"/>
      <c r="P412" s="5"/>
      <c r="Q412" s="181"/>
    </row>
    <row r="413" spans="12:17">
      <c r="L413" s="193"/>
      <c r="M413" s="194"/>
      <c r="N413" s="195"/>
      <c r="O413" s="196"/>
      <c r="P413" s="5"/>
      <c r="Q413" s="181"/>
    </row>
    <row r="414" spans="12:17">
      <c r="L414" s="193"/>
      <c r="M414" s="194"/>
      <c r="N414" s="195"/>
      <c r="O414" s="196"/>
      <c r="P414" s="5"/>
      <c r="Q414" s="181"/>
    </row>
    <row r="415" spans="12:17">
      <c r="L415" s="193"/>
      <c r="M415" s="194"/>
      <c r="N415" s="195"/>
      <c r="O415" s="196"/>
      <c r="P415" s="5"/>
      <c r="Q415" s="181"/>
    </row>
    <row r="416" spans="12:17">
      <c r="L416" s="193"/>
      <c r="M416" s="194"/>
      <c r="N416" s="195"/>
      <c r="O416" s="196"/>
      <c r="P416" s="5"/>
      <c r="Q416" s="181"/>
    </row>
    <row r="417" spans="12:17">
      <c r="L417" s="193"/>
      <c r="M417" s="194"/>
      <c r="N417" s="195"/>
      <c r="O417" s="196"/>
      <c r="P417" s="5"/>
      <c r="Q417" s="181"/>
    </row>
    <row r="418" spans="12:17">
      <c r="L418" s="193"/>
      <c r="M418" s="194"/>
      <c r="N418" s="195"/>
      <c r="O418" s="196"/>
      <c r="P418" s="5"/>
      <c r="Q418" s="181"/>
    </row>
    <row r="419" spans="12:17">
      <c r="L419" s="193"/>
      <c r="M419" s="194"/>
      <c r="N419" s="195"/>
      <c r="O419" s="196"/>
      <c r="P419" s="5"/>
      <c r="Q419" s="181"/>
    </row>
    <row r="420" spans="12:17">
      <c r="L420" s="193"/>
      <c r="M420" s="194"/>
      <c r="N420" s="195"/>
      <c r="O420" s="196"/>
      <c r="P420" s="5"/>
      <c r="Q420" s="181"/>
    </row>
    <row r="421" spans="12:17">
      <c r="L421" s="193"/>
      <c r="M421" s="194"/>
      <c r="N421" s="195"/>
      <c r="O421" s="196"/>
      <c r="P421" s="5"/>
      <c r="Q421" s="181"/>
    </row>
    <row r="422" spans="12:17">
      <c r="L422" s="193"/>
      <c r="M422" s="194"/>
      <c r="N422" s="195"/>
      <c r="O422" s="196"/>
      <c r="P422" s="5"/>
      <c r="Q422" s="181"/>
    </row>
    <row r="423" spans="12:17">
      <c r="L423" s="193"/>
      <c r="M423" s="194"/>
      <c r="N423" s="195"/>
      <c r="O423" s="196"/>
      <c r="P423" s="5"/>
      <c r="Q423" s="181"/>
    </row>
    <row r="424" spans="12:17">
      <c r="L424" s="193"/>
      <c r="M424" s="194"/>
      <c r="N424" s="195"/>
      <c r="O424" s="196"/>
      <c r="P424" s="5"/>
      <c r="Q424" s="181"/>
    </row>
    <row r="425" spans="12:17">
      <c r="L425" s="193"/>
      <c r="M425" s="194"/>
      <c r="N425" s="195"/>
      <c r="O425" s="196"/>
      <c r="P425" s="5"/>
      <c r="Q425" s="181"/>
    </row>
    <row r="426" spans="12:17">
      <c r="L426" s="193"/>
      <c r="M426" s="194"/>
      <c r="N426" s="195"/>
      <c r="O426" s="196"/>
      <c r="P426" s="5"/>
      <c r="Q426" s="181"/>
    </row>
    <row r="427" spans="12:17">
      <c r="L427" s="193"/>
      <c r="M427" s="194"/>
      <c r="N427" s="195"/>
      <c r="O427" s="196"/>
      <c r="P427" s="5"/>
      <c r="Q427" s="181"/>
    </row>
    <row r="428" spans="12:17">
      <c r="L428" s="193"/>
      <c r="M428" s="194"/>
      <c r="N428" s="195"/>
      <c r="O428" s="196"/>
      <c r="P428" s="5"/>
      <c r="Q428" s="181"/>
    </row>
    <row r="429" spans="12:17">
      <c r="L429" s="193"/>
      <c r="M429" s="194"/>
      <c r="N429" s="195"/>
      <c r="O429" s="196"/>
      <c r="P429" s="5"/>
      <c r="Q429" s="181"/>
    </row>
    <row r="430" spans="12:17">
      <c r="L430" s="193"/>
      <c r="M430" s="194"/>
      <c r="N430" s="195"/>
      <c r="O430" s="196"/>
      <c r="P430" s="5"/>
      <c r="Q430" s="181"/>
    </row>
    <row r="431" spans="12:17">
      <c r="L431" s="193"/>
      <c r="M431" s="194"/>
      <c r="N431" s="195"/>
      <c r="O431" s="196"/>
      <c r="P431" s="5"/>
      <c r="Q431" s="181"/>
    </row>
    <row r="432" spans="12:17">
      <c r="L432" s="193"/>
      <c r="M432" s="194"/>
      <c r="N432" s="195"/>
      <c r="O432" s="196"/>
      <c r="P432" s="5"/>
      <c r="Q432" s="181"/>
    </row>
    <row r="433" spans="12:17">
      <c r="L433" s="193"/>
      <c r="M433" s="194"/>
      <c r="N433" s="195"/>
      <c r="O433" s="196"/>
      <c r="P433" s="5"/>
      <c r="Q433" s="181"/>
    </row>
    <row r="434" spans="12:17">
      <c r="L434" s="193"/>
      <c r="M434" s="194"/>
      <c r="N434" s="195"/>
      <c r="O434" s="196"/>
      <c r="P434" s="5"/>
      <c r="Q434" s="181"/>
    </row>
    <row r="435" spans="12:17">
      <c r="L435" s="193"/>
      <c r="M435" s="194"/>
      <c r="N435" s="195"/>
      <c r="O435" s="196"/>
      <c r="P435" s="5"/>
      <c r="Q435" s="181"/>
    </row>
    <row r="436" spans="12:17">
      <c r="L436" s="193"/>
      <c r="M436" s="194"/>
      <c r="N436" s="195"/>
      <c r="O436" s="196"/>
      <c r="P436" s="5"/>
      <c r="Q436" s="181"/>
    </row>
    <row r="437" spans="12:17">
      <c r="L437" s="193"/>
      <c r="M437" s="194"/>
      <c r="N437" s="195"/>
      <c r="O437" s="196"/>
      <c r="P437" s="5"/>
      <c r="Q437" s="181"/>
    </row>
    <row r="438" spans="12:17">
      <c r="L438" s="193"/>
      <c r="M438" s="194"/>
      <c r="N438" s="195"/>
      <c r="O438" s="196"/>
      <c r="P438" s="5"/>
      <c r="Q438" s="181"/>
    </row>
    <row r="439" spans="12:17">
      <c r="L439" s="193"/>
      <c r="M439" s="194"/>
      <c r="N439" s="195"/>
      <c r="O439" s="196"/>
      <c r="P439" s="5"/>
      <c r="Q439" s="181"/>
    </row>
    <row r="440" spans="12:17">
      <c r="L440" s="193"/>
      <c r="M440" s="194"/>
      <c r="N440" s="195"/>
      <c r="O440" s="196"/>
      <c r="P440" s="5"/>
      <c r="Q440" s="181"/>
    </row>
    <row r="441" spans="12:17">
      <c r="L441" s="193"/>
      <c r="M441" s="194"/>
      <c r="N441" s="195"/>
      <c r="O441" s="196"/>
      <c r="P441" s="5"/>
      <c r="Q441" s="181"/>
    </row>
    <row r="442" spans="12:17">
      <c r="L442" s="193"/>
      <c r="M442" s="194"/>
      <c r="N442" s="195"/>
      <c r="O442" s="196"/>
      <c r="P442" s="5"/>
      <c r="Q442" s="181"/>
    </row>
    <row r="443" spans="12:17">
      <c r="L443" s="193"/>
      <c r="M443" s="194"/>
      <c r="N443" s="195"/>
      <c r="O443" s="196"/>
      <c r="P443" s="5"/>
      <c r="Q443" s="181"/>
    </row>
    <row r="444" spans="12:17">
      <c r="L444" s="193"/>
      <c r="M444" s="194"/>
      <c r="N444" s="195"/>
      <c r="O444" s="196"/>
      <c r="P444" s="5"/>
      <c r="Q444" s="181"/>
    </row>
    <row r="445" spans="12:17">
      <c r="L445" s="193"/>
      <c r="M445" s="194"/>
      <c r="N445" s="195"/>
      <c r="O445" s="196"/>
      <c r="P445" s="5"/>
      <c r="Q445" s="181"/>
    </row>
    <row r="446" spans="12:17">
      <c r="L446" s="193"/>
      <c r="M446" s="194"/>
      <c r="N446" s="195"/>
      <c r="O446" s="196"/>
      <c r="P446" s="5"/>
      <c r="Q446" s="181"/>
    </row>
    <row r="447" spans="12:17">
      <c r="L447" s="193"/>
      <c r="M447" s="194"/>
      <c r="N447" s="195"/>
      <c r="O447" s="196"/>
      <c r="P447" s="5"/>
      <c r="Q447" s="181"/>
    </row>
    <row r="448" spans="12:17">
      <c r="L448" s="193"/>
      <c r="M448" s="194"/>
      <c r="N448" s="195"/>
      <c r="O448" s="196"/>
      <c r="P448" s="5"/>
      <c r="Q448" s="181"/>
    </row>
    <row r="449" spans="12:17">
      <c r="L449" s="193"/>
      <c r="M449" s="194"/>
      <c r="N449" s="195"/>
      <c r="O449" s="196"/>
      <c r="P449" s="5"/>
      <c r="Q449" s="181"/>
    </row>
    <row r="450" spans="12:17">
      <c r="L450" s="193"/>
      <c r="M450" s="194"/>
      <c r="N450" s="195"/>
      <c r="O450" s="196"/>
      <c r="P450" s="5"/>
      <c r="Q450" s="181"/>
    </row>
    <row r="451" spans="12:17">
      <c r="L451" s="193"/>
      <c r="M451" s="194"/>
      <c r="N451" s="195"/>
      <c r="O451" s="196"/>
      <c r="P451" s="5"/>
      <c r="Q451" s="181"/>
    </row>
    <row r="452" spans="12:17">
      <c r="L452" s="193"/>
      <c r="M452" s="194"/>
      <c r="N452" s="195"/>
      <c r="O452" s="196"/>
      <c r="P452" s="5"/>
      <c r="Q452" s="181"/>
    </row>
    <row r="453" spans="12:17">
      <c r="L453" s="193"/>
      <c r="M453" s="194"/>
      <c r="N453" s="195"/>
      <c r="O453" s="196"/>
      <c r="P453" s="5"/>
      <c r="Q453" s="181"/>
    </row>
    <row r="454" spans="12:17">
      <c r="L454" s="193"/>
      <c r="M454" s="194"/>
      <c r="N454" s="195"/>
      <c r="O454" s="196"/>
      <c r="P454" s="5"/>
      <c r="Q454" s="181"/>
    </row>
    <row r="455" spans="12:17">
      <c r="L455" s="193"/>
      <c r="M455" s="194"/>
      <c r="N455" s="195"/>
      <c r="O455" s="196"/>
      <c r="P455" s="5"/>
      <c r="Q455" s="181"/>
    </row>
    <row r="456" spans="12:17">
      <c r="L456" s="193"/>
      <c r="M456" s="194"/>
      <c r="N456" s="195"/>
      <c r="O456" s="196"/>
      <c r="P456" s="5"/>
      <c r="Q456" s="181"/>
    </row>
    <row r="457" spans="12:17">
      <c r="L457" s="193"/>
      <c r="M457" s="194"/>
      <c r="N457" s="195"/>
      <c r="O457" s="196"/>
      <c r="P457" s="5"/>
      <c r="Q457" s="181"/>
    </row>
    <row r="458" spans="12:17">
      <c r="L458" s="193"/>
      <c r="M458" s="194"/>
      <c r="N458" s="195"/>
      <c r="O458" s="196"/>
      <c r="P458" s="5"/>
      <c r="Q458" s="181"/>
    </row>
    <row r="459" spans="12:17">
      <c r="L459" s="193"/>
      <c r="M459" s="194"/>
      <c r="N459" s="195"/>
      <c r="O459" s="196"/>
      <c r="P459" s="5"/>
      <c r="Q459" s="181"/>
    </row>
    <row r="460" spans="12:17">
      <c r="L460" s="193"/>
      <c r="M460" s="194"/>
      <c r="N460" s="195"/>
      <c r="O460" s="196"/>
      <c r="P460" s="5"/>
      <c r="Q460" s="181"/>
    </row>
    <row r="461" spans="12:17">
      <c r="L461" s="193"/>
      <c r="M461" s="194"/>
      <c r="N461" s="195"/>
      <c r="O461" s="196"/>
      <c r="P461" s="5"/>
      <c r="Q461" s="181"/>
    </row>
    <row r="462" spans="12:17">
      <c r="L462" s="193"/>
      <c r="M462" s="194"/>
      <c r="N462" s="195"/>
      <c r="O462" s="196"/>
      <c r="P462" s="5"/>
      <c r="Q462" s="181"/>
    </row>
    <row r="463" spans="12:17">
      <c r="L463" s="193"/>
      <c r="M463" s="194"/>
      <c r="N463" s="195"/>
      <c r="O463" s="196"/>
      <c r="P463" s="5"/>
      <c r="Q463" s="181"/>
    </row>
    <row r="464" spans="12:17">
      <c r="L464" s="193"/>
      <c r="M464" s="194"/>
      <c r="N464" s="195"/>
      <c r="O464" s="196"/>
      <c r="P464" s="5"/>
      <c r="Q464" s="181"/>
    </row>
    <row r="465" spans="12:17">
      <c r="L465" s="193"/>
      <c r="M465" s="194"/>
      <c r="N465" s="195"/>
      <c r="O465" s="196"/>
      <c r="P465" s="5"/>
      <c r="Q465" s="181"/>
    </row>
    <row r="466" spans="12:17">
      <c r="L466" s="193"/>
      <c r="M466" s="194"/>
      <c r="N466" s="195"/>
      <c r="O466" s="196"/>
      <c r="P466" s="5"/>
      <c r="Q466" s="181"/>
    </row>
    <row r="467" spans="12:17">
      <c r="L467" s="193"/>
      <c r="M467" s="194"/>
      <c r="N467" s="195"/>
      <c r="O467" s="196"/>
      <c r="P467" s="5"/>
      <c r="Q467" s="181"/>
    </row>
    <row r="468" spans="12:17">
      <c r="L468" s="193"/>
      <c r="M468" s="194"/>
      <c r="N468" s="195"/>
      <c r="O468" s="196"/>
      <c r="P468" s="5"/>
      <c r="Q468" s="181"/>
    </row>
    <row r="469" spans="12:17">
      <c r="L469" s="193"/>
      <c r="M469" s="194"/>
      <c r="N469" s="195"/>
      <c r="O469" s="196"/>
      <c r="P469" s="5"/>
      <c r="Q469" s="181"/>
    </row>
    <row r="470" spans="12:17">
      <c r="L470" s="193"/>
      <c r="M470" s="194"/>
      <c r="N470" s="195"/>
      <c r="O470" s="196"/>
      <c r="P470" s="5"/>
      <c r="Q470" s="181"/>
    </row>
    <row r="471" spans="12:17">
      <c r="L471" s="193"/>
      <c r="M471" s="194"/>
      <c r="N471" s="195"/>
      <c r="O471" s="196"/>
      <c r="P471" s="5"/>
      <c r="Q471" s="181"/>
    </row>
    <row r="472" spans="12:17">
      <c r="L472" s="193"/>
      <c r="M472" s="194"/>
      <c r="N472" s="195"/>
      <c r="O472" s="196"/>
      <c r="P472" s="5"/>
      <c r="Q472" s="181"/>
    </row>
    <row r="473" spans="12:17">
      <c r="L473" s="193"/>
      <c r="M473" s="194"/>
      <c r="N473" s="195"/>
      <c r="O473" s="196"/>
      <c r="P473" s="5"/>
      <c r="Q473" s="181"/>
    </row>
    <row r="474" spans="12:17">
      <c r="L474" s="193"/>
      <c r="M474" s="194"/>
      <c r="N474" s="195"/>
      <c r="O474" s="196"/>
      <c r="P474" s="5"/>
      <c r="Q474" s="181"/>
    </row>
    <row r="475" spans="12:17">
      <c r="L475" s="193"/>
      <c r="M475" s="194"/>
      <c r="N475" s="195"/>
      <c r="O475" s="196"/>
      <c r="P475" s="5"/>
      <c r="Q475" s="181"/>
    </row>
    <row r="476" spans="12:17">
      <c r="L476" s="193"/>
      <c r="M476" s="194"/>
      <c r="N476" s="195"/>
      <c r="O476" s="196"/>
      <c r="P476" s="5"/>
      <c r="Q476" s="181"/>
    </row>
    <row r="477" spans="12:17">
      <c r="L477" s="193"/>
      <c r="M477" s="194"/>
      <c r="N477" s="195"/>
      <c r="O477" s="196"/>
      <c r="P477" s="5"/>
      <c r="Q477" s="181"/>
    </row>
    <row r="478" spans="12:17">
      <c r="L478" s="193"/>
      <c r="M478" s="194"/>
      <c r="N478" s="195"/>
      <c r="O478" s="196"/>
      <c r="P478" s="5"/>
      <c r="Q478" s="181"/>
    </row>
    <row r="479" spans="12:17">
      <c r="L479" s="193"/>
      <c r="M479" s="194"/>
      <c r="N479" s="195"/>
      <c r="O479" s="196"/>
      <c r="P479" s="5"/>
      <c r="Q479" s="181"/>
    </row>
    <row r="480" spans="12:17">
      <c r="L480" s="193"/>
      <c r="M480" s="194"/>
      <c r="N480" s="195"/>
      <c r="O480" s="196"/>
      <c r="P480" s="5"/>
      <c r="Q480" s="181"/>
    </row>
    <row r="481" spans="12:17">
      <c r="L481" s="193"/>
      <c r="M481" s="194"/>
      <c r="N481" s="195"/>
      <c r="O481" s="196"/>
      <c r="P481" s="5"/>
      <c r="Q481" s="181"/>
    </row>
    <row r="482" spans="12:17">
      <c r="L482" s="193"/>
      <c r="M482" s="194"/>
      <c r="N482" s="195"/>
      <c r="O482" s="196"/>
      <c r="P482" s="5"/>
      <c r="Q482" s="181"/>
    </row>
    <row r="483" spans="12:17">
      <c r="L483" s="193"/>
      <c r="M483" s="194"/>
      <c r="N483" s="195"/>
      <c r="O483" s="196"/>
      <c r="P483" s="5"/>
      <c r="Q483" s="181"/>
    </row>
    <row r="484" spans="12:17">
      <c r="L484" s="193"/>
      <c r="M484" s="194"/>
      <c r="N484" s="195"/>
      <c r="O484" s="196"/>
      <c r="P484" s="5"/>
      <c r="Q484" s="181"/>
    </row>
    <row r="485" spans="12:17">
      <c r="L485" s="193"/>
      <c r="M485" s="194"/>
      <c r="N485" s="195"/>
      <c r="O485" s="196"/>
      <c r="P485" s="5"/>
      <c r="Q485" s="181"/>
    </row>
    <row r="486" spans="12:17">
      <c r="L486" s="193"/>
      <c r="M486" s="194"/>
      <c r="N486" s="195"/>
      <c r="O486" s="196"/>
      <c r="P486" s="5"/>
      <c r="Q486" s="181"/>
    </row>
    <row r="487" spans="12:17">
      <c r="L487" s="193"/>
      <c r="M487" s="194"/>
      <c r="N487" s="195"/>
      <c r="O487" s="196"/>
      <c r="P487" s="5"/>
      <c r="Q487" s="181"/>
    </row>
    <row r="488" spans="12:17">
      <c r="L488" s="193"/>
      <c r="M488" s="194"/>
      <c r="N488" s="195"/>
      <c r="O488" s="196"/>
      <c r="P488" s="5"/>
      <c r="Q488" s="181"/>
    </row>
    <row r="489" spans="12:17">
      <c r="L489" s="193"/>
      <c r="M489" s="194"/>
      <c r="N489" s="195"/>
      <c r="O489" s="196"/>
      <c r="P489" s="5"/>
      <c r="Q489" s="181"/>
    </row>
    <row r="490" spans="12:17">
      <c r="L490" s="193"/>
      <c r="M490" s="194"/>
      <c r="N490" s="195"/>
      <c r="O490" s="196"/>
      <c r="P490" s="5"/>
      <c r="Q490" s="181"/>
    </row>
    <row r="491" spans="12:17">
      <c r="L491" s="193"/>
      <c r="M491" s="194"/>
      <c r="N491" s="195"/>
      <c r="O491" s="196"/>
      <c r="P491" s="5"/>
      <c r="Q491" s="181"/>
    </row>
    <row r="492" spans="12:17">
      <c r="L492" s="193"/>
      <c r="M492" s="194"/>
      <c r="N492" s="195"/>
      <c r="O492" s="196"/>
      <c r="P492" s="5"/>
      <c r="Q492" s="181"/>
    </row>
    <row r="493" spans="12:17">
      <c r="L493" s="193"/>
      <c r="M493" s="194"/>
      <c r="N493" s="195"/>
      <c r="O493" s="196"/>
      <c r="P493" s="5"/>
      <c r="Q493" s="181"/>
    </row>
    <row r="494" spans="12:17">
      <c r="L494" s="193"/>
      <c r="M494" s="194"/>
      <c r="N494" s="195"/>
      <c r="O494" s="196"/>
      <c r="P494" s="5"/>
      <c r="Q494" s="181"/>
    </row>
    <row r="495" spans="12:17">
      <c r="L495" s="193"/>
      <c r="M495" s="194"/>
      <c r="N495" s="195"/>
      <c r="O495" s="196"/>
      <c r="P495" s="5"/>
      <c r="Q495" s="181"/>
    </row>
    <row r="496" spans="12:17">
      <c r="L496" s="193"/>
      <c r="M496" s="194"/>
      <c r="N496" s="195"/>
      <c r="O496" s="196"/>
      <c r="P496" s="5"/>
      <c r="Q496" s="181"/>
    </row>
    <row r="497" spans="12:17">
      <c r="L497" s="193"/>
      <c r="M497" s="194"/>
      <c r="N497" s="195"/>
      <c r="O497" s="196"/>
      <c r="P497" s="5"/>
      <c r="Q497" s="181"/>
    </row>
    <row r="498" spans="12:17">
      <c r="L498" s="193"/>
      <c r="M498" s="194"/>
      <c r="N498" s="195"/>
      <c r="O498" s="196"/>
      <c r="P498" s="5"/>
      <c r="Q498" s="181"/>
    </row>
    <row r="499" spans="12:17">
      <c r="L499" s="193"/>
      <c r="M499" s="194"/>
      <c r="N499" s="195"/>
      <c r="O499" s="196"/>
      <c r="P499" s="5"/>
      <c r="Q499" s="181"/>
    </row>
    <row r="500" spans="12:17">
      <c r="L500" s="193"/>
      <c r="M500" s="194"/>
      <c r="N500" s="195"/>
      <c r="O500" s="196"/>
      <c r="P500" s="5"/>
      <c r="Q500" s="181"/>
    </row>
    <row r="501" spans="12:17">
      <c r="L501" s="193"/>
      <c r="M501" s="194"/>
      <c r="N501" s="195"/>
      <c r="O501" s="196"/>
      <c r="P501" s="5"/>
      <c r="Q501" s="181"/>
    </row>
    <row r="502" spans="12:17">
      <c r="L502" s="193"/>
      <c r="M502" s="194"/>
      <c r="N502" s="195"/>
      <c r="O502" s="196"/>
      <c r="P502" s="5"/>
      <c r="Q502" s="181"/>
    </row>
    <row r="503" spans="12:17">
      <c r="L503" s="193"/>
      <c r="M503" s="194"/>
      <c r="N503" s="195"/>
      <c r="O503" s="196"/>
      <c r="P503" s="5"/>
      <c r="Q503" s="181"/>
    </row>
    <row r="504" spans="12:17">
      <c r="L504" s="193"/>
      <c r="M504" s="194"/>
      <c r="N504" s="195"/>
      <c r="O504" s="196"/>
      <c r="P504" s="5"/>
      <c r="Q504" s="181"/>
    </row>
    <row r="505" spans="12:17">
      <c r="L505" s="193"/>
      <c r="M505" s="194"/>
      <c r="N505" s="195"/>
      <c r="O505" s="196"/>
      <c r="P505" s="5"/>
      <c r="Q505" s="181"/>
    </row>
    <row r="506" spans="12:17">
      <c r="L506" s="193"/>
      <c r="M506" s="194"/>
      <c r="N506" s="195"/>
      <c r="O506" s="196"/>
      <c r="P506" s="5"/>
      <c r="Q506" s="181"/>
    </row>
    <row r="507" spans="12:17">
      <c r="L507" s="193"/>
      <c r="M507" s="194"/>
      <c r="N507" s="195"/>
      <c r="O507" s="196"/>
      <c r="P507" s="5"/>
      <c r="Q507" s="181"/>
    </row>
    <row r="508" spans="12:17">
      <c r="L508" s="193"/>
      <c r="M508" s="194"/>
      <c r="N508" s="195"/>
      <c r="O508" s="196"/>
      <c r="P508" s="5"/>
      <c r="Q508" s="181"/>
    </row>
    <row r="509" spans="12:17">
      <c r="L509" s="193"/>
      <c r="M509" s="194"/>
      <c r="N509" s="195"/>
      <c r="O509" s="196"/>
      <c r="P509" s="5"/>
      <c r="Q509" s="181"/>
    </row>
    <row r="510" spans="12:17">
      <c r="L510" s="193"/>
      <c r="M510" s="194"/>
      <c r="N510" s="195"/>
      <c r="O510" s="196"/>
      <c r="P510" s="5"/>
      <c r="Q510" s="181"/>
    </row>
    <row r="511" spans="12:17">
      <c r="L511" s="193"/>
      <c r="M511" s="194"/>
      <c r="N511" s="195"/>
      <c r="O511" s="196"/>
      <c r="P511" s="5"/>
      <c r="Q511" s="181"/>
    </row>
    <row r="512" spans="12:17">
      <c r="L512" s="193"/>
      <c r="M512" s="194"/>
      <c r="N512" s="195"/>
      <c r="O512" s="196"/>
      <c r="P512" s="5"/>
      <c r="Q512" s="181"/>
    </row>
    <row r="513" spans="12:17">
      <c r="L513" s="193"/>
      <c r="M513" s="194"/>
      <c r="N513" s="195"/>
      <c r="O513" s="196"/>
      <c r="P513" s="5"/>
      <c r="Q513" s="181"/>
    </row>
    <row r="514" spans="12:17">
      <c r="L514" s="193"/>
      <c r="M514" s="194"/>
      <c r="N514" s="195"/>
      <c r="O514" s="196"/>
      <c r="P514" s="5"/>
      <c r="Q514" s="181"/>
    </row>
    <row r="515" spans="12:17">
      <c r="L515" s="193"/>
      <c r="M515" s="194"/>
      <c r="N515" s="195"/>
      <c r="O515" s="196"/>
      <c r="P515" s="5"/>
      <c r="Q515" s="181"/>
    </row>
    <row r="516" spans="12:17">
      <c r="L516" s="193"/>
      <c r="M516" s="194"/>
      <c r="N516" s="195"/>
      <c r="O516" s="196"/>
      <c r="P516" s="5"/>
      <c r="Q516" s="181"/>
    </row>
    <row r="517" spans="12:17">
      <c r="L517" s="193"/>
      <c r="M517" s="194"/>
      <c r="N517" s="195"/>
      <c r="O517" s="196"/>
      <c r="P517" s="5"/>
      <c r="Q517" s="181"/>
    </row>
    <row r="518" spans="12:17">
      <c r="L518" s="193"/>
      <c r="M518" s="194"/>
      <c r="N518" s="195"/>
      <c r="O518" s="196"/>
      <c r="P518" s="5"/>
      <c r="Q518" s="181"/>
    </row>
    <row r="519" spans="12:17">
      <c r="L519" s="193"/>
      <c r="M519" s="194"/>
      <c r="N519" s="195"/>
      <c r="O519" s="196"/>
      <c r="P519" s="5"/>
      <c r="Q519" s="181"/>
    </row>
    <row r="520" spans="12:17">
      <c r="L520" s="193"/>
      <c r="M520" s="194"/>
      <c r="N520" s="195"/>
      <c r="O520" s="196"/>
      <c r="P520" s="5"/>
      <c r="Q520" s="181"/>
    </row>
    <row r="521" spans="12:17">
      <c r="L521" s="193"/>
      <c r="M521" s="194"/>
      <c r="N521" s="195"/>
      <c r="O521" s="196"/>
      <c r="P521" s="5"/>
      <c r="Q521" s="181"/>
    </row>
    <row r="522" spans="12:17">
      <c r="L522" s="193"/>
      <c r="M522" s="194"/>
      <c r="N522" s="195"/>
      <c r="O522" s="196"/>
      <c r="P522" s="5"/>
      <c r="Q522" s="181"/>
    </row>
    <row r="523" spans="12:17">
      <c r="L523" s="193"/>
      <c r="M523" s="194"/>
      <c r="N523" s="195"/>
      <c r="O523" s="196"/>
      <c r="P523" s="5"/>
      <c r="Q523" s="181"/>
    </row>
    <row r="524" spans="12:17">
      <c r="L524" s="193"/>
      <c r="M524" s="194"/>
      <c r="N524" s="195"/>
      <c r="O524" s="196"/>
      <c r="P524" s="5"/>
      <c r="Q524" s="181"/>
    </row>
    <row r="525" spans="12:17">
      <c r="L525" s="193"/>
      <c r="M525" s="194"/>
      <c r="N525" s="195"/>
      <c r="O525" s="196"/>
      <c r="P525" s="5"/>
      <c r="Q525" s="181"/>
    </row>
    <row r="526" spans="12:17">
      <c r="L526" s="193"/>
      <c r="M526" s="194"/>
      <c r="N526" s="195"/>
      <c r="O526" s="196"/>
      <c r="P526" s="5"/>
      <c r="Q526" s="181"/>
    </row>
    <row r="527" spans="12:17">
      <c r="L527" s="193"/>
      <c r="M527" s="194"/>
      <c r="N527" s="195"/>
      <c r="O527" s="196"/>
      <c r="P527" s="5"/>
      <c r="Q527" s="181"/>
    </row>
    <row r="528" spans="12:17">
      <c r="L528" s="193"/>
      <c r="M528" s="194"/>
      <c r="N528" s="195"/>
      <c r="O528" s="196"/>
      <c r="P528" s="5"/>
      <c r="Q528" s="181"/>
    </row>
    <row r="529" spans="12:17">
      <c r="L529" s="193"/>
      <c r="M529" s="194"/>
      <c r="N529" s="195"/>
      <c r="O529" s="196"/>
      <c r="P529" s="5"/>
      <c r="Q529" s="181"/>
    </row>
    <row r="530" spans="12:17">
      <c r="L530" s="193"/>
      <c r="M530" s="194"/>
      <c r="N530" s="195"/>
      <c r="O530" s="196"/>
      <c r="P530" s="5"/>
      <c r="Q530" s="181"/>
    </row>
    <row r="531" spans="12:17">
      <c r="L531" s="193"/>
      <c r="M531" s="194"/>
      <c r="N531" s="195"/>
      <c r="O531" s="196"/>
      <c r="P531" s="5"/>
      <c r="Q531" s="181"/>
    </row>
    <row r="532" spans="12:17">
      <c r="L532" s="193"/>
      <c r="M532" s="194"/>
      <c r="N532" s="195"/>
      <c r="O532" s="196"/>
      <c r="P532" s="5"/>
      <c r="Q532" s="181"/>
    </row>
    <row r="533" spans="12:17">
      <c r="L533" s="193"/>
      <c r="M533" s="194"/>
      <c r="N533" s="195"/>
      <c r="O533" s="196"/>
      <c r="P533" s="5"/>
      <c r="Q533" s="181"/>
    </row>
    <row r="534" spans="12:17">
      <c r="L534" s="193"/>
      <c r="M534" s="194"/>
      <c r="N534" s="195"/>
      <c r="O534" s="196"/>
      <c r="P534" s="5"/>
      <c r="Q534" s="181"/>
    </row>
    <row r="535" spans="12:17">
      <c r="L535" s="193"/>
      <c r="M535" s="194"/>
      <c r="N535" s="195"/>
      <c r="O535" s="196"/>
      <c r="P535" s="5"/>
      <c r="Q535" s="181"/>
    </row>
    <row r="536" spans="12:17">
      <c r="L536" s="193"/>
      <c r="M536" s="194"/>
      <c r="N536" s="195"/>
      <c r="O536" s="196"/>
      <c r="P536" s="5"/>
      <c r="Q536" s="181"/>
    </row>
    <row r="537" spans="12:17">
      <c r="L537" s="193"/>
      <c r="M537" s="194"/>
      <c r="N537" s="195"/>
      <c r="O537" s="196"/>
      <c r="P537" s="5"/>
      <c r="Q537" s="181"/>
    </row>
    <row r="538" spans="12:17">
      <c r="L538" s="193"/>
      <c r="M538" s="194"/>
      <c r="N538" s="195"/>
      <c r="O538" s="196"/>
      <c r="P538" s="5"/>
      <c r="Q538" s="181"/>
    </row>
    <row r="539" spans="12:17">
      <c r="L539" s="193"/>
      <c r="M539" s="194"/>
      <c r="N539" s="195"/>
      <c r="O539" s="196"/>
      <c r="P539" s="5"/>
      <c r="Q539" s="181"/>
    </row>
    <row r="540" spans="12:17">
      <c r="L540" s="193"/>
      <c r="M540" s="194"/>
      <c r="N540" s="195"/>
      <c r="O540" s="196"/>
      <c r="P540" s="5"/>
      <c r="Q540" s="181"/>
    </row>
    <row r="541" spans="12:17">
      <c r="L541" s="193"/>
      <c r="M541" s="194"/>
      <c r="N541" s="195"/>
      <c r="O541" s="196"/>
      <c r="P541" s="5"/>
      <c r="Q541" s="181"/>
    </row>
    <row r="542" spans="12:17">
      <c r="L542" s="193"/>
      <c r="M542" s="194"/>
      <c r="N542" s="195"/>
      <c r="O542" s="196"/>
      <c r="P542" s="5"/>
      <c r="Q542" s="181"/>
    </row>
    <row r="543" spans="12:17">
      <c r="L543" s="193"/>
      <c r="M543" s="194"/>
      <c r="N543" s="195"/>
      <c r="O543" s="196"/>
      <c r="P543" s="5"/>
      <c r="Q543" s="181"/>
    </row>
    <row r="544" spans="12:17">
      <c r="L544" s="193"/>
      <c r="M544" s="194"/>
      <c r="N544" s="195"/>
      <c r="O544" s="196"/>
      <c r="P544" s="5"/>
      <c r="Q544" s="181"/>
    </row>
    <row r="545" spans="12:17">
      <c r="L545" s="193"/>
      <c r="M545" s="194"/>
      <c r="N545" s="195"/>
      <c r="O545" s="196"/>
      <c r="P545" s="5"/>
      <c r="Q545" s="181"/>
    </row>
    <row r="546" spans="12:17">
      <c r="L546" s="193"/>
      <c r="M546" s="194"/>
      <c r="N546" s="195"/>
      <c r="O546" s="196"/>
      <c r="P546" s="5"/>
      <c r="Q546" s="181"/>
    </row>
    <row r="547" spans="12:17">
      <c r="L547" s="193"/>
      <c r="M547" s="194"/>
      <c r="N547" s="195"/>
      <c r="O547" s="196"/>
      <c r="P547" s="5"/>
      <c r="Q547" s="181"/>
    </row>
    <row r="548" spans="12:17">
      <c r="L548" s="193"/>
      <c r="M548" s="194"/>
      <c r="N548" s="195"/>
      <c r="O548" s="196"/>
      <c r="P548" s="5"/>
      <c r="Q548" s="181"/>
    </row>
    <row r="549" spans="12:17">
      <c r="L549" s="193"/>
      <c r="M549" s="194"/>
      <c r="N549" s="195"/>
      <c r="O549" s="196"/>
      <c r="P549" s="5"/>
      <c r="Q549" s="181"/>
    </row>
    <row r="550" spans="12:17">
      <c r="L550" s="193"/>
      <c r="M550" s="194"/>
      <c r="N550" s="195"/>
      <c r="O550" s="196"/>
      <c r="P550" s="5"/>
      <c r="Q550" s="181"/>
    </row>
    <row r="551" spans="12:17">
      <c r="L551" s="193"/>
      <c r="M551" s="194"/>
      <c r="N551" s="195"/>
      <c r="O551" s="196"/>
      <c r="P551" s="5"/>
      <c r="Q551" s="181"/>
    </row>
    <row r="552" spans="12:17">
      <c r="L552" s="193"/>
      <c r="M552" s="194"/>
      <c r="N552" s="195"/>
      <c r="O552" s="196"/>
      <c r="P552" s="5"/>
      <c r="Q552" s="181"/>
    </row>
    <row r="553" spans="12:17">
      <c r="L553" s="193"/>
      <c r="M553" s="194"/>
      <c r="N553" s="195"/>
      <c r="O553" s="196"/>
      <c r="P553" s="5"/>
      <c r="Q553" s="181"/>
    </row>
    <row r="554" spans="12:17">
      <c r="L554" s="193"/>
      <c r="M554" s="194"/>
      <c r="N554" s="195"/>
      <c r="O554" s="196"/>
      <c r="P554" s="5"/>
      <c r="Q554" s="181"/>
    </row>
    <row r="555" spans="12:17">
      <c r="L555" s="193"/>
      <c r="M555" s="194"/>
      <c r="N555" s="195"/>
      <c r="O555" s="196"/>
      <c r="P555" s="5"/>
      <c r="Q555" s="181"/>
    </row>
    <row r="556" spans="12:17">
      <c r="L556" s="193"/>
      <c r="M556" s="194"/>
      <c r="N556" s="195"/>
      <c r="O556" s="196"/>
      <c r="P556" s="5"/>
      <c r="Q556" s="181"/>
    </row>
    <row r="557" spans="12:17">
      <c r="L557" s="193"/>
      <c r="M557" s="194"/>
      <c r="N557" s="195"/>
      <c r="O557" s="196"/>
      <c r="P557" s="5"/>
      <c r="Q557" s="181"/>
    </row>
    <row r="558" spans="12:17">
      <c r="L558" s="193"/>
      <c r="M558" s="194"/>
      <c r="N558" s="195"/>
      <c r="O558" s="196"/>
      <c r="P558" s="5"/>
      <c r="Q558" s="181"/>
    </row>
    <row r="559" spans="12:17">
      <c r="L559" s="193"/>
      <c r="M559" s="194"/>
      <c r="N559" s="195"/>
      <c r="O559" s="196"/>
      <c r="P559" s="5"/>
      <c r="Q559" s="181"/>
    </row>
    <row r="560" spans="12:17">
      <c r="L560" s="193"/>
      <c r="M560" s="194"/>
      <c r="N560" s="195"/>
      <c r="O560" s="196"/>
      <c r="P560" s="5"/>
      <c r="Q560" s="181"/>
    </row>
    <row r="561" spans="12:17">
      <c r="L561" s="193"/>
      <c r="M561" s="194"/>
      <c r="N561" s="195"/>
      <c r="O561" s="196"/>
      <c r="P561" s="5"/>
      <c r="Q561" s="181"/>
    </row>
    <row r="562" spans="12:17">
      <c r="L562" s="193"/>
      <c r="M562" s="194"/>
      <c r="N562" s="195"/>
      <c r="O562" s="196"/>
      <c r="P562" s="5"/>
      <c r="Q562" s="181"/>
    </row>
    <row r="563" spans="12:17">
      <c r="L563" s="193"/>
      <c r="M563" s="194"/>
      <c r="N563" s="195"/>
      <c r="O563" s="196"/>
      <c r="P563" s="5"/>
      <c r="Q563" s="181"/>
    </row>
    <row r="564" spans="12:17">
      <c r="L564" s="193"/>
      <c r="M564" s="194"/>
      <c r="N564" s="195"/>
      <c r="O564" s="196"/>
      <c r="P564" s="5"/>
      <c r="Q564" s="181"/>
    </row>
    <row r="565" spans="12:17">
      <c r="L565" s="193"/>
      <c r="M565" s="194"/>
      <c r="N565" s="195"/>
      <c r="O565" s="196"/>
      <c r="P565" s="5"/>
      <c r="Q565" s="181"/>
    </row>
    <row r="566" spans="12:17">
      <c r="L566" s="193"/>
      <c r="M566" s="194"/>
      <c r="N566" s="195"/>
      <c r="O566" s="196"/>
      <c r="P566" s="5"/>
      <c r="Q566" s="181"/>
    </row>
    <row r="567" spans="12:17">
      <c r="L567" s="193"/>
      <c r="M567" s="194"/>
      <c r="N567" s="195"/>
      <c r="O567" s="196"/>
      <c r="P567" s="5"/>
      <c r="Q567" s="181"/>
    </row>
    <row r="568" spans="12:17">
      <c r="L568" s="193"/>
      <c r="M568" s="194"/>
      <c r="N568" s="195"/>
      <c r="O568" s="196"/>
      <c r="P568" s="5"/>
      <c r="Q568" s="181"/>
    </row>
    <row r="569" spans="12:17">
      <c r="L569" s="193"/>
      <c r="M569" s="194"/>
      <c r="N569" s="195"/>
      <c r="O569" s="196"/>
      <c r="P569" s="5"/>
      <c r="Q569" s="181"/>
    </row>
    <row r="570" spans="12:17">
      <c r="L570" s="193"/>
      <c r="M570" s="194"/>
      <c r="N570" s="195"/>
      <c r="O570" s="196"/>
      <c r="P570" s="5"/>
      <c r="Q570" s="181"/>
    </row>
    <row r="571" spans="12:17">
      <c r="L571" s="193"/>
      <c r="M571" s="194"/>
      <c r="N571" s="195"/>
      <c r="O571" s="196"/>
      <c r="P571" s="5"/>
      <c r="Q571" s="181"/>
    </row>
    <row r="572" spans="12:17">
      <c r="L572" s="193"/>
      <c r="M572" s="194"/>
      <c r="N572" s="195"/>
      <c r="O572" s="196"/>
      <c r="P572" s="5"/>
      <c r="Q572" s="181"/>
    </row>
    <row r="573" spans="12:17">
      <c r="L573" s="193"/>
      <c r="M573" s="194"/>
      <c r="N573" s="195"/>
      <c r="O573" s="196"/>
      <c r="P573" s="5"/>
      <c r="Q573" s="181"/>
    </row>
    <row r="574" spans="12:17">
      <c r="L574" s="193"/>
      <c r="M574" s="194"/>
      <c r="N574" s="195"/>
      <c r="O574" s="196"/>
      <c r="P574" s="5"/>
      <c r="Q574" s="181"/>
    </row>
    <row r="575" spans="12:17">
      <c r="L575" s="193"/>
      <c r="M575" s="194"/>
      <c r="N575" s="195"/>
      <c r="O575" s="196"/>
      <c r="P575" s="5"/>
      <c r="Q575" s="181"/>
    </row>
    <row r="576" spans="12:17">
      <c r="L576" s="193"/>
      <c r="M576" s="194"/>
      <c r="N576" s="195"/>
      <c r="O576" s="196"/>
      <c r="P576" s="5"/>
      <c r="Q576" s="181"/>
    </row>
    <row r="577" spans="12:17">
      <c r="L577" s="193"/>
      <c r="M577" s="194"/>
      <c r="N577" s="195"/>
      <c r="O577" s="196"/>
      <c r="P577" s="5"/>
      <c r="Q577" s="181"/>
    </row>
    <row r="578" spans="12:17">
      <c r="L578" s="193"/>
      <c r="M578" s="194"/>
      <c r="N578" s="195"/>
      <c r="O578" s="196"/>
      <c r="P578" s="5"/>
      <c r="Q578" s="181"/>
    </row>
    <row r="579" spans="12:17">
      <c r="L579" s="193"/>
      <c r="M579" s="194"/>
      <c r="N579" s="195"/>
      <c r="O579" s="196"/>
      <c r="P579" s="5"/>
      <c r="Q579" s="181"/>
    </row>
    <row r="580" spans="12:17">
      <c r="L580" s="193"/>
      <c r="M580" s="194"/>
      <c r="N580" s="195"/>
      <c r="O580" s="196"/>
      <c r="P580" s="5"/>
      <c r="Q580" s="181"/>
    </row>
    <row r="581" spans="12:17">
      <c r="L581" s="193"/>
      <c r="M581" s="194"/>
      <c r="N581" s="195"/>
      <c r="O581" s="196"/>
      <c r="P581" s="5"/>
      <c r="Q581" s="181"/>
    </row>
    <row r="582" spans="12:17">
      <c r="L582" s="193"/>
      <c r="M582" s="194"/>
      <c r="N582" s="195"/>
      <c r="O582" s="196"/>
      <c r="P582" s="5"/>
      <c r="Q582" s="181"/>
    </row>
    <row r="583" spans="12:17">
      <c r="L583" s="193"/>
      <c r="M583" s="194"/>
      <c r="N583" s="195"/>
      <c r="O583" s="196"/>
      <c r="P583" s="5"/>
      <c r="Q583" s="181"/>
    </row>
    <row r="584" spans="12:17">
      <c r="L584" s="193"/>
      <c r="M584" s="194"/>
      <c r="N584" s="195"/>
      <c r="O584" s="196"/>
      <c r="P584" s="5"/>
      <c r="Q584" s="181"/>
    </row>
    <row r="585" spans="12:17">
      <c r="L585" s="193"/>
      <c r="M585" s="194"/>
      <c r="N585" s="195"/>
      <c r="O585" s="196"/>
      <c r="P585" s="5"/>
      <c r="Q585" s="181"/>
    </row>
    <row r="586" spans="12:17">
      <c r="L586" s="193"/>
      <c r="M586" s="194"/>
      <c r="N586" s="195"/>
      <c r="O586" s="196"/>
      <c r="P586" s="5"/>
      <c r="Q586" s="181"/>
    </row>
    <row r="587" spans="12:17">
      <c r="L587" s="193"/>
      <c r="M587" s="194"/>
      <c r="N587" s="195"/>
      <c r="O587" s="196"/>
      <c r="P587" s="5"/>
      <c r="Q587" s="181"/>
    </row>
    <row r="588" spans="12:17">
      <c r="L588" s="193"/>
      <c r="M588" s="194"/>
      <c r="N588" s="195"/>
      <c r="O588" s="196"/>
      <c r="P588" s="5"/>
      <c r="Q588" s="181"/>
    </row>
    <row r="589" spans="12:17">
      <c r="L589" s="193"/>
      <c r="M589" s="194"/>
      <c r="N589" s="195"/>
      <c r="O589" s="196"/>
      <c r="P589" s="5"/>
      <c r="Q589" s="181"/>
    </row>
    <row r="590" spans="12:17">
      <c r="L590" s="193"/>
      <c r="M590" s="194"/>
      <c r="N590" s="195"/>
      <c r="O590" s="196"/>
      <c r="P590" s="5"/>
      <c r="Q590" s="181"/>
    </row>
    <row r="591" spans="12:17">
      <c r="L591" s="193"/>
      <c r="M591" s="194"/>
      <c r="N591" s="195"/>
      <c r="O591" s="196"/>
      <c r="P591" s="5"/>
      <c r="Q591" s="181"/>
    </row>
    <row r="592" spans="12:17">
      <c r="L592" s="193"/>
      <c r="M592" s="194"/>
      <c r="N592" s="195"/>
      <c r="O592" s="196"/>
      <c r="P592" s="5"/>
      <c r="Q592" s="181"/>
    </row>
    <row r="593" spans="12:17">
      <c r="L593" s="193"/>
      <c r="M593" s="194"/>
      <c r="N593" s="195"/>
      <c r="O593" s="196"/>
      <c r="P593" s="5"/>
      <c r="Q593" s="181"/>
    </row>
    <row r="594" spans="12:17">
      <c r="L594" s="193"/>
      <c r="M594" s="194"/>
      <c r="N594" s="195"/>
      <c r="O594" s="196"/>
      <c r="P594" s="5"/>
      <c r="Q594" s="181"/>
    </row>
    <row r="595" spans="12:17">
      <c r="L595" s="193"/>
      <c r="M595" s="194"/>
      <c r="N595" s="195"/>
      <c r="O595" s="196"/>
      <c r="P595" s="5"/>
      <c r="Q595" s="181"/>
    </row>
    <row r="596" spans="12:17">
      <c r="L596" s="193"/>
      <c r="M596" s="194"/>
      <c r="N596" s="195"/>
      <c r="O596" s="196"/>
      <c r="P596" s="5"/>
      <c r="Q596" s="181"/>
    </row>
    <row r="597" spans="12:17">
      <c r="L597" s="193"/>
      <c r="M597" s="194"/>
      <c r="N597" s="195"/>
      <c r="O597" s="196"/>
      <c r="P597" s="5"/>
      <c r="Q597" s="181"/>
    </row>
    <row r="598" spans="12:17">
      <c r="L598" s="193"/>
      <c r="M598" s="194"/>
      <c r="N598" s="195"/>
      <c r="O598" s="196"/>
      <c r="P598" s="5"/>
      <c r="Q598" s="181"/>
    </row>
    <row r="599" spans="12:17">
      <c r="L599" s="193"/>
      <c r="M599" s="194"/>
      <c r="N599" s="195"/>
      <c r="O599" s="196"/>
      <c r="P599" s="5"/>
      <c r="Q599" s="181"/>
    </row>
    <row r="600" spans="12:17">
      <c r="L600" s="193"/>
      <c r="M600" s="194"/>
      <c r="N600" s="195"/>
      <c r="O600" s="196"/>
      <c r="P600" s="5"/>
      <c r="Q600" s="181"/>
    </row>
    <row r="601" spans="12:17">
      <c r="L601" s="193"/>
      <c r="M601" s="194"/>
      <c r="N601" s="195"/>
      <c r="O601" s="196"/>
      <c r="P601" s="5"/>
      <c r="Q601" s="181"/>
    </row>
    <row r="602" spans="12:17">
      <c r="L602" s="193"/>
      <c r="M602" s="194"/>
      <c r="N602" s="195"/>
      <c r="O602" s="196"/>
      <c r="P602" s="5"/>
      <c r="Q602" s="181"/>
    </row>
    <row r="603" spans="12:17">
      <c r="L603" s="193"/>
      <c r="M603" s="194"/>
      <c r="N603" s="195"/>
      <c r="O603" s="196"/>
      <c r="P603" s="5"/>
      <c r="Q603" s="181"/>
    </row>
    <row r="604" spans="12:17">
      <c r="L604" s="193"/>
      <c r="M604" s="194"/>
      <c r="N604" s="195"/>
      <c r="O604" s="196"/>
      <c r="P604" s="5"/>
      <c r="Q604" s="181"/>
    </row>
    <row r="605" spans="12:17">
      <c r="L605" s="193"/>
      <c r="M605" s="194"/>
      <c r="N605" s="195"/>
      <c r="O605" s="196"/>
      <c r="P605" s="5"/>
      <c r="Q605" s="181"/>
    </row>
    <row r="606" spans="12:17">
      <c r="L606" s="193"/>
      <c r="M606" s="194"/>
      <c r="N606" s="195"/>
      <c r="O606" s="196"/>
      <c r="P606" s="5"/>
      <c r="Q606" s="181"/>
    </row>
    <row r="607" spans="12:17">
      <c r="L607" s="193"/>
      <c r="M607" s="194"/>
      <c r="N607" s="195"/>
      <c r="O607" s="196"/>
      <c r="P607" s="5"/>
      <c r="Q607" s="181"/>
    </row>
    <row r="608" spans="12:17">
      <c r="L608" s="193"/>
      <c r="M608" s="194"/>
      <c r="N608" s="195"/>
      <c r="O608" s="196"/>
      <c r="P608" s="5"/>
      <c r="Q608" s="181"/>
    </row>
    <row r="609" spans="12:17">
      <c r="L609" s="193"/>
      <c r="M609" s="194"/>
      <c r="N609" s="195"/>
      <c r="O609" s="196"/>
      <c r="P609" s="5"/>
      <c r="Q609" s="181"/>
    </row>
    <row r="610" spans="12:17">
      <c r="L610" s="193"/>
      <c r="M610" s="194"/>
      <c r="N610" s="195"/>
      <c r="O610" s="196"/>
      <c r="P610" s="5"/>
      <c r="Q610" s="181"/>
    </row>
    <row r="611" spans="12:17">
      <c r="L611" s="193"/>
      <c r="M611" s="194"/>
      <c r="N611" s="195"/>
      <c r="O611" s="196"/>
      <c r="P611" s="5"/>
      <c r="Q611" s="181"/>
    </row>
    <row r="612" spans="12:17">
      <c r="L612" s="193"/>
      <c r="M612" s="194"/>
      <c r="N612" s="195"/>
      <c r="O612" s="196"/>
      <c r="P612" s="5"/>
      <c r="Q612" s="181"/>
    </row>
    <row r="613" spans="12:17">
      <c r="L613" s="193"/>
      <c r="M613" s="194"/>
      <c r="N613" s="195"/>
      <c r="O613" s="196"/>
      <c r="P613" s="5"/>
      <c r="Q613" s="181"/>
    </row>
    <row r="614" spans="12:17">
      <c r="L614" s="193"/>
      <c r="M614" s="194"/>
      <c r="N614" s="195"/>
      <c r="O614" s="196"/>
      <c r="P614" s="5"/>
      <c r="Q614" s="181"/>
    </row>
    <row r="615" spans="12:17">
      <c r="L615" s="193"/>
      <c r="M615" s="194"/>
      <c r="N615" s="195"/>
      <c r="O615" s="196"/>
      <c r="P615" s="5"/>
      <c r="Q615" s="181"/>
    </row>
    <row r="616" spans="12:17">
      <c r="L616" s="193"/>
      <c r="M616" s="194"/>
      <c r="N616" s="195"/>
      <c r="O616" s="196"/>
      <c r="P616" s="5"/>
      <c r="Q616" s="181"/>
    </row>
    <row r="617" spans="12:17">
      <c r="L617" s="193"/>
      <c r="M617" s="194"/>
      <c r="N617" s="195"/>
      <c r="O617" s="196"/>
      <c r="P617" s="5"/>
      <c r="Q617" s="181"/>
    </row>
    <row r="618" spans="12:17">
      <c r="L618" s="193"/>
      <c r="M618" s="194"/>
      <c r="N618" s="195"/>
      <c r="O618" s="196"/>
      <c r="P618" s="5"/>
      <c r="Q618" s="181"/>
    </row>
    <row r="619" spans="12:17">
      <c r="L619" s="193"/>
      <c r="M619" s="194"/>
      <c r="N619" s="195"/>
      <c r="O619" s="196"/>
      <c r="P619" s="5"/>
      <c r="Q619" s="181"/>
    </row>
    <row r="620" spans="12:17">
      <c r="L620" s="193"/>
      <c r="M620" s="194"/>
      <c r="N620" s="195"/>
      <c r="O620" s="196"/>
      <c r="P620" s="5"/>
      <c r="Q620" s="181"/>
    </row>
    <row r="621" spans="12:17">
      <c r="L621" s="193"/>
      <c r="M621" s="194"/>
      <c r="N621" s="195"/>
      <c r="O621" s="196"/>
      <c r="P621" s="5"/>
      <c r="Q621" s="181"/>
    </row>
    <row r="622" spans="12:17">
      <c r="L622" s="193"/>
      <c r="M622" s="194"/>
      <c r="N622" s="195"/>
      <c r="O622" s="196"/>
      <c r="P622" s="5"/>
      <c r="Q622" s="181"/>
    </row>
    <row r="623" spans="12:17">
      <c r="L623" s="193"/>
      <c r="M623" s="194"/>
      <c r="N623" s="195"/>
      <c r="O623" s="196"/>
      <c r="P623" s="5"/>
      <c r="Q623" s="181"/>
    </row>
    <row r="624" spans="12:17">
      <c r="L624" s="193"/>
      <c r="M624" s="194"/>
      <c r="N624" s="195"/>
      <c r="O624" s="196"/>
      <c r="P624" s="5"/>
      <c r="Q624" s="181"/>
    </row>
    <row r="625" spans="12:17">
      <c r="L625" s="193"/>
      <c r="M625" s="194"/>
      <c r="N625" s="195"/>
      <c r="O625" s="196"/>
      <c r="P625" s="5"/>
      <c r="Q625" s="181"/>
    </row>
    <row r="626" spans="12:17">
      <c r="L626" s="193"/>
      <c r="M626" s="194"/>
      <c r="N626" s="195"/>
      <c r="O626" s="196"/>
      <c r="P626" s="5"/>
      <c r="Q626" s="181"/>
    </row>
    <row r="627" spans="12:17">
      <c r="L627" s="193"/>
      <c r="M627" s="194"/>
      <c r="N627" s="195"/>
      <c r="O627" s="196"/>
      <c r="P627" s="5"/>
      <c r="Q627" s="181"/>
    </row>
    <row r="628" spans="12:17">
      <c r="L628" s="193"/>
      <c r="M628" s="194"/>
      <c r="N628" s="195"/>
      <c r="O628" s="196"/>
      <c r="P628" s="5"/>
      <c r="Q628" s="181"/>
    </row>
    <row r="629" spans="12:17">
      <c r="L629" s="193"/>
      <c r="M629" s="194"/>
      <c r="N629" s="195"/>
      <c r="O629" s="196"/>
      <c r="P629" s="5"/>
      <c r="Q629" s="181"/>
    </row>
    <row r="630" spans="12:17">
      <c r="L630" s="193"/>
      <c r="M630" s="194"/>
      <c r="N630" s="195"/>
      <c r="O630" s="196"/>
      <c r="P630" s="5"/>
      <c r="Q630" s="181"/>
    </row>
    <row r="631" spans="12:17">
      <c r="L631" s="193"/>
      <c r="M631" s="194"/>
      <c r="N631" s="195"/>
      <c r="O631" s="196"/>
      <c r="P631" s="5"/>
      <c r="Q631" s="181"/>
    </row>
    <row r="632" spans="12:17">
      <c r="L632" s="193"/>
      <c r="M632" s="194"/>
      <c r="N632" s="195"/>
      <c r="O632" s="196"/>
      <c r="P632" s="5"/>
      <c r="Q632" s="181"/>
    </row>
    <row r="633" spans="12:17">
      <c r="L633" s="193"/>
      <c r="M633" s="194"/>
      <c r="N633" s="195"/>
      <c r="O633" s="196"/>
      <c r="P633" s="5"/>
      <c r="Q633" s="181"/>
    </row>
    <row r="634" spans="12:17">
      <c r="L634" s="193"/>
      <c r="M634" s="194"/>
      <c r="N634" s="195"/>
      <c r="O634" s="196"/>
      <c r="P634" s="5"/>
      <c r="Q634" s="181"/>
    </row>
    <row r="635" spans="12:17">
      <c r="L635" s="193"/>
      <c r="M635" s="194"/>
      <c r="N635" s="195"/>
      <c r="O635" s="196"/>
      <c r="P635" s="5"/>
      <c r="Q635" s="181"/>
    </row>
    <row r="636" spans="12:17">
      <c r="L636" s="193"/>
      <c r="M636" s="194"/>
      <c r="N636" s="195"/>
      <c r="O636" s="196"/>
      <c r="P636" s="5"/>
      <c r="Q636" s="181"/>
    </row>
    <row r="637" spans="12:17">
      <c r="L637" s="193"/>
      <c r="M637" s="194"/>
      <c r="N637" s="195"/>
      <c r="O637" s="196"/>
      <c r="P637" s="5"/>
      <c r="Q637" s="181"/>
    </row>
    <row r="638" spans="12:17">
      <c r="L638" s="193"/>
      <c r="M638" s="194"/>
      <c r="N638" s="195"/>
      <c r="O638" s="196"/>
      <c r="P638" s="5"/>
      <c r="Q638" s="181"/>
    </row>
    <row r="639" spans="12:17">
      <c r="L639" s="193"/>
      <c r="M639" s="194"/>
      <c r="N639" s="195"/>
      <c r="O639" s="196"/>
      <c r="P639" s="5"/>
      <c r="Q639" s="181"/>
    </row>
    <row r="640" spans="12:17">
      <c r="L640" s="193"/>
      <c r="M640" s="194"/>
      <c r="N640" s="195"/>
      <c r="O640" s="196"/>
      <c r="P640" s="5"/>
      <c r="Q640" s="181"/>
    </row>
    <row r="641" spans="12:17">
      <c r="L641" s="193"/>
      <c r="M641" s="194"/>
      <c r="N641" s="195"/>
      <c r="O641" s="196"/>
      <c r="P641" s="5"/>
      <c r="Q641" s="181"/>
    </row>
    <row r="642" spans="12:17">
      <c r="L642" s="193"/>
      <c r="M642" s="194"/>
      <c r="N642" s="195"/>
      <c r="O642" s="196"/>
      <c r="P642" s="5"/>
      <c r="Q642" s="181"/>
    </row>
    <row r="643" spans="12:17">
      <c r="L643" s="193"/>
      <c r="M643" s="194"/>
      <c r="N643" s="195"/>
      <c r="O643" s="196"/>
      <c r="P643" s="5"/>
      <c r="Q643" s="181"/>
    </row>
    <row r="644" spans="12:17">
      <c r="L644" s="193"/>
      <c r="M644" s="194"/>
      <c r="N644" s="195"/>
      <c r="O644" s="196"/>
      <c r="P644" s="5"/>
      <c r="Q644" s="181"/>
    </row>
    <row r="645" spans="12:17">
      <c r="L645" s="193"/>
      <c r="M645" s="194"/>
      <c r="N645" s="195"/>
      <c r="O645" s="196"/>
      <c r="P645" s="5"/>
      <c r="Q645" s="181"/>
    </row>
    <row r="646" spans="12:17">
      <c r="L646" s="193"/>
      <c r="M646" s="194"/>
      <c r="N646" s="195"/>
      <c r="O646" s="196"/>
      <c r="P646" s="5"/>
      <c r="Q646" s="181"/>
    </row>
    <row r="647" spans="12:17">
      <c r="L647" s="193"/>
      <c r="M647" s="194"/>
      <c r="N647" s="195"/>
      <c r="O647" s="196"/>
      <c r="P647" s="5"/>
      <c r="Q647" s="181"/>
    </row>
    <row r="648" spans="12:17">
      <c r="L648" s="193"/>
      <c r="M648" s="194"/>
      <c r="N648" s="195"/>
      <c r="O648" s="196"/>
      <c r="P648" s="5"/>
      <c r="Q648" s="181"/>
    </row>
    <row r="649" spans="12:17">
      <c r="L649" s="193"/>
      <c r="M649" s="194"/>
      <c r="N649" s="195"/>
      <c r="O649" s="196"/>
      <c r="P649" s="5"/>
      <c r="Q649" s="181"/>
    </row>
    <row r="650" spans="12:17">
      <c r="L650" s="193"/>
      <c r="M650" s="194"/>
      <c r="N650" s="195"/>
      <c r="O650" s="196"/>
      <c r="P650" s="5"/>
      <c r="Q650" s="181"/>
    </row>
    <row r="651" spans="12:17">
      <c r="L651" s="193"/>
      <c r="M651" s="194"/>
      <c r="N651" s="195"/>
      <c r="O651" s="196"/>
      <c r="P651" s="5"/>
      <c r="Q651" s="181"/>
    </row>
    <row r="652" spans="12:17">
      <c r="L652" s="193"/>
      <c r="M652" s="194"/>
      <c r="N652" s="195"/>
      <c r="O652" s="196"/>
      <c r="P652" s="5"/>
      <c r="Q652" s="181"/>
    </row>
    <row r="653" spans="12:17">
      <c r="L653" s="193"/>
      <c r="M653" s="194"/>
      <c r="N653" s="195"/>
      <c r="O653" s="196"/>
      <c r="P653" s="5"/>
      <c r="Q653" s="181"/>
    </row>
    <row r="654" spans="12:17">
      <c r="L654" s="193"/>
      <c r="M654" s="194"/>
      <c r="N654" s="195"/>
      <c r="O654" s="196"/>
      <c r="P654" s="5"/>
      <c r="Q654" s="181"/>
    </row>
    <row r="655" spans="12:17">
      <c r="L655" s="193"/>
      <c r="M655" s="194"/>
      <c r="N655" s="195"/>
      <c r="O655" s="196"/>
      <c r="P655" s="5"/>
      <c r="Q655" s="181"/>
    </row>
    <row r="656" spans="12:17">
      <c r="L656" s="193"/>
      <c r="M656" s="194"/>
      <c r="N656" s="195"/>
      <c r="O656" s="196"/>
      <c r="P656" s="5"/>
      <c r="Q656" s="181"/>
    </row>
    <row r="657" spans="12:17">
      <c r="L657" s="193"/>
      <c r="M657" s="194"/>
      <c r="N657" s="195"/>
      <c r="O657" s="196"/>
      <c r="P657" s="5"/>
      <c r="Q657" s="181"/>
    </row>
    <row r="658" spans="12:17">
      <c r="L658" s="193"/>
      <c r="M658" s="194"/>
      <c r="N658" s="195"/>
      <c r="O658" s="196"/>
      <c r="P658" s="5"/>
      <c r="Q658" s="181"/>
    </row>
    <row r="659" spans="12:17">
      <c r="L659" s="193"/>
      <c r="M659" s="194"/>
      <c r="N659" s="195"/>
      <c r="O659" s="196"/>
      <c r="P659" s="5"/>
      <c r="Q659" s="181"/>
    </row>
    <row r="660" spans="12:17">
      <c r="L660" s="193"/>
      <c r="M660" s="194"/>
      <c r="N660" s="195"/>
      <c r="O660" s="196"/>
      <c r="P660" s="5"/>
      <c r="Q660" s="181"/>
    </row>
    <row r="661" spans="12:17">
      <c r="L661" s="193"/>
      <c r="M661" s="194"/>
      <c r="N661" s="195"/>
      <c r="O661" s="196"/>
      <c r="P661" s="5"/>
      <c r="Q661" s="181"/>
    </row>
    <row r="662" spans="12:17">
      <c r="L662" s="193"/>
      <c r="M662" s="194"/>
      <c r="N662" s="195"/>
      <c r="O662" s="196"/>
      <c r="P662" s="5"/>
      <c r="Q662" s="181"/>
    </row>
    <row r="663" spans="12:17">
      <c r="L663" s="193"/>
      <c r="M663" s="194"/>
      <c r="N663" s="195"/>
      <c r="O663" s="196"/>
      <c r="P663" s="5"/>
      <c r="Q663" s="181"/>
    </row>
    <row r="664" spans="12:17">
      <c r="L664" s="193"/>
      <c r="M664" s="194"/>
      <c r="N664" s="195"/>
      <c r="O664" s="196"/>
      <c r="P664" s="5"/>
      <c r="Q664" s="181"/>
    </row>
    <row r="665" spans="12:17">
      <c r="L665" s="193"/>
      <c r="M665" s="194"/>
      <c r="N665" s="195"/>
      <c r="O665" s="196"/>
      <c r="P665" s="5"/>
      <c r="Q665" s="181"/>
    </row>
    <row r="666" spans="12:17">
      <c r="L666" s="193"/>
      <c r="M666" s="194"/>
      <c r="N666" s="195"/>
      <c r="O666" s="196"/>
      <c r="P666" s="5"/>
      <c r="Q666" s="181"/>
    </row>
    <row r="667" spans="12:17">
      <c r="L667" s="193"/>
      <c r="M667" s="194"/>
      <c r="N667" s="195"/>
      <c r="O667" s="196"/>
      <c r="P667" s="5"/>
      <c r="Q667" s="181"/>
    </row>
    <row r="668" spans="12:17">
      <c r="L668" s="193"/>
      <c r="M668" s="194"/>
      <c r="N668" s="195"/>
      <c r="O668" s="196"/>
      <c r="P668" s="5"/>
      <c r="Q668" s="181"/>
    </row>
    <row r="669" spans="12:17">
      <c r="L669" s="193"/>
      <c r="M669" s="194"/>
      <c r="N669" s="195"/>
      <c r="O669" s="196"/>
      <c r="P669" s="5"/>
      <c r="Q669" s="181"/>
    </row>
    <row r="670" spans="12:17">
      <c r="L670" s="193"/>
      <c r="M670" s="194"/>
      <c r="N670" s="195"/>
      <c r="O670" s="196"/>
      <c r="P670" s="5"/>
      <c r="Q670" s="181"/>
    </row>
    <row r="671" spans="12:17">
      <c r="L671" s="193"/>
      <c r="M671" s="194"/>
      <c r="N671" s="195"/>
      <c r="O671" s="196"/>
      <c r="P671" s="5"/>
      <c r="Q671" s="181"/>
    </row>
    <row r="672" spans="12:17">
      <c r="L672" s="193"/>
      <c r="M672" s="194"/>
      <c r="N672" s="195"/>
      <c r="O672" s="196"/>
      <c r="P672" s="5"/>
      <c r="Q672" s="181"/>
    </row>
    <row r="673" spans="12:17">
      <c r="L673" s="193"/>
      <c r="M673" s="194"/>
      <c r="N673" s="195"/>
      <c r="O673" s="196"/>
      <c r="P673" s="5"/>
      <c r="Q673" s="181"/>
    </row>
    <row r="674" spans="12:17">
      <c r="L674" s="193"/>
      <c r="M674" s="194"/>
      <c r="N674" s="195"/>
      <c r="O674" s="196"/>
      <c r="P674" s="5"/>
      <c r="Q674" s="181"/>
    </row>
    <row r="675" spans="12:17">
      <c r="L675" s="193"/>
      <c r="M675" s="194"/>
      <c r="N675" s="195"/>
      <c r="O675" s="196"/>
      <c r="P675" s="5"/>
      <c r="Q675" s="181"/>
    </row>
    <row r="676" spans="12:17">
      <c r="L676" s="193"/>
      <c r="M676" s="194"/>
      <c r="N676" s="195"/>
      <c r="O676" s="196"/>
      <c r="P676" s="5"/>
      <c r="Q676" s="181"/>
    </row>
    <row r="677" spans="12:17">
      <c r="L677" s="193"/>
      <c r="M677" s="194"/>
      <c r="N677" s="195"/>
      <c r="O677" s="196"/>
      <c r="P677" s="5"/>
      <c r="Q677" s="181"/>
    </row>
    <row r="678" spans="12:17">
      <c r="L678" s="193"/>
      <c r="M678" s="194"/>
      <c r="N678" s="195"/>
      <c r="O678" s="196"/>
      <c r="P678" s="5"/>
      <c r="Q678" s="181"/>
    </row>
    <row r="679" spans="12:17">
      <c r="L679" s="193"/>
      <c r="M679" s="194"/>
      <c r="N679" s="195"/>
      <c r="O679" s="196"/>
      <c r="P679" s="5"/>
      <c r="Q679" s="181"/>
    </row>
    <row r="680" spans="12:17">
      <c r="L680" s="193"/>
      <c r="M680" s="194"/>
      <c r="N680" s="195"/>
      <c r="O680" s="196"/>
      <c r="P680" s="5"/>
      <c r="Q680" s="181"/>
    </row>
    <row r="681" spans="12:17">
      <c r="L681" s="193"/>
      <c r="M681" s="194"/>
      <c r="N681" s="195"/>
      <c r="O681" s="196"/>
      <c r="P681" s="5"/>
      <c r="Q681" s="181"/>
    </row>
    <row r="682" spans="12:17">
      <c r="L682" s="193"/>
      <c r="M682" s="194"/>
      <c r="N682" s="195"/>
      <c r="O682" s="196"/>
      <c r="P682" s="5"/>
      <c r="Q682" s="181"/>
    </row>
    <row r="683" spans="12:17">
      <c r="L683" s="193"/>
      <c r="M683" s="194"/>
      <c r="N683" s="195"/>
      <c r="O683" s="196"/>
      <c r="P683" s="5"/>
      <c r="Q683" s="181"/>
    </row>
    <row r="684" spans="12:17">
      <c r="L684" s="193"/>
      <c r="M684" s="194"/>
      <c r="N684" s="195"/>
      <c r="O684" s="196"/>
      <c r="P684" s="5"/>
      <c r="Q684" s="181"/>
    </row>
    <row r="685" spans="12:17">
      <c r="L685" s="193"/>
      <c r="M685" s="194"/>
      <c r="N685" s="195"/>
      <c r="O685" s="196"/>
      <c r="P685" s="5"/>
      <c r="Q685" s="181"/>
    </row>
    <row r="686" spans="12:17">
      <c r="L686" s="193"/>
      <c r="M686" s="194"/>
      <c r="N686" s="195"/>
      <c r="O686" s="196"/>
      <c r="P686" s="5"/>
      <c r="Q686" s="181"/>
    </row>
    <row r="687" spans="12:17">
      <c r="L687" s="193"/>
      <c r="M687" s="194"/>
      <c r="N687" s="195"/>
      <c r="O687" s="196"/>
      <c r="P687" s="5"/>
      <c r="Q687" s="181"/>
    </row>
    <row r="688" spans="12:17">
      <c r="L688" s="193"/>
      <c r="M688" s="194"/>
      <c r="N688" s="195"/>
      <c r="O688" s="196"/>
      <c r="P688" s="5"/>
      <c r="Q688" s="181"/>
    </row>
    <row r="689" spans="12:17">
      <c r="L689" s="193"/>
      <c r="M689" s="194"/>
      <c r="N689" s="195"/>
      <c r="O689" s="196"/>
      <c r="P689" s="5"/>
      <c r="Q689" s="181"/>
    </row>
    <row r="690" spans="12:17">
      <c r="L690" s="193"/>
      <c r="M690" s="194"/>
      <c r="N690" s="195"/>
      <c r="O690" s="196"/>
      <c r="P690" s="5"/>
      <c r="Q690" s="181"/>
    </row>
    <row r="691" spans="12:17">
      <c r="L691" s="193"/>
      <c r="M691" s="194"/>
      <c r="N691" s="195"/>
      <c r="O691" s="196"/>
      <c r="P691" s="5"/>
      <c r="Q691" s="181"/>
    </row>
    <row r="692" spans="12:17">
      <c r="L692" s="193"/>
      <c r="M692" s="194"/>
      <c r="N692" s="195"/>
      <c r="O692" s="196"/>
      <c r="P692" s="5"/>
      <c r="Q692" s="181"/>
    </row>
    <row r="693" spans="12:17">
      <c r="L693" s="193"/>
      <c r="M693" s="194"/>
      <c r="N693" s="195"/>
      <c r="O693" s="196"/>
      <c r="P693" s="5"/>
      <c r="Q693" s="181"/>
    </row>
    <row r="694" spans="12:17">
      <c r="L694" s="193"/>
      <c r="M694" s="194"/>
      <c r="N694" s="195"/>
      <c r="O694" s="196"/>
      <c r="P694" s="5"/>
      <c r="Q694" s="181"/>
    </row>
    <row r="695" spans="12:17">
      <c r="L695" s="193"/>
      <c r="M695" s="194"/>
      <c r="N695" s="195"/>
      <c r="O695" s="196"/>
      <c r="P695" s="5"/>
      <c r="Q695" s="181"/>
    </row>
    <row r="696" spans="12:17">
      <c r="L696" s="193"/>
      <c r="M696" s="194"/>
      <c r="N696" s="195"/>
      <c r="O696" s="196"/>
      <c r="P696" s="5"/>
      <c r="Q696" s="181"/>
    </row>
    <row r="697" spans="12:17">
      <c r="L697" s="193"/>
      <c r="M697" s="194"/>
      <c r="N697" s="195"/>
      <c r="O697" s="196"/>
      <c r="P697" s="5"/>
      <c r="Q697" s="181"/>
    </row>
    <row r="698" spans="12:17">
      <c r="L698" s="193"/>
      <c r="M698" s="194"/>
      <c r="N698" s="195"/>
      <c r="O698" s="196"/>
      <c r="P698" s="5"/>
      <c r="Q698" s="181"/>
    </row>
    <row r="699" spans="12:17">
      <c r="L699" s="193"/>
      <c r="M699" s="194"/>
      <c r="N699" s="195"/>
      <c r="O699" s="196"/>
      <c r="P699" s="5"/>
      <c r="Q699" s="181"/>
    </row>
    <row r="700" spans="12:17">
      <c r="L700" s="193"/>
      <c r="M700" s="194"/>
      <c r="N700" s="195"/>
      <c r="O700" s="196"/>
      <c r="P700" s="5"/>
      <c r="Q700" s="181"/>
    </row>
    <row r="701" spans="12:17">
      <c r="L701" s="193"/>
      <c r="M701" s="194"/>
      <c r="N701" s="195"/>
      <c r="O701" s="196"/>
      <c r="P701" s="5"/>
      <c r="Q701" s="181"/>
    </row>
    <row r="702" spans="12:17">
      <c r="L702" s="193"/>
      <c r="M702" s="194"/>
      <c r="N702" s="195"/>
      <c r="O702" s="196"/>
      <c r="P702" s="5"/>
      <c r="Q702" s="181"/>
    </row>
    <row r="703" spans="12:17">
      <c r="L703" s="193"/>
      <c r="M703" s="194"/>
      <c r="N703" s="195"/>
      <c r="O703" s="196"/>
      <c r="P703" s="5"/>
      <c r="Q703" s="181"/>
    </row>
    <row r="704" spans="12:17">
      <c r="L704" s="193"/>
      <c r="M704" s="194"/>
      <c r="N704" s="195"/>
      <c r="O704" s="196"/>
      <c r="P704" s="5"/>
      <c r="Q704" s="181"/>
    </row>
    <row r="705" spans="12:17">
      <c r="L705" s="193"/>
      <c r="M705" s="194"/>
      <c r="N705" s="195"/>
      <c r="O705" s="196"/>
      <c r="P705" s="5"/>
      <c r="Q705" s="181"/>
    </row>
    <row r="706" spans="12:17">
      <c r="L706" s="193"/>
      <c r="M706" s="194"/>
      <c r="N706" s="195"/>
      <c r="O706" s="196"/>
      <c r="P706" s="5"/>
      <c r="Q706" s="181"/>
    </row>
    <row r="707" spans="12:17">
      <c r="L707" s="193"/>
      <c r="M707" s="194"/>
      <c r="N707" s="195"/>
      <c r="O707" s="196"/>
      <c r="P707" s="5"/>
      <c r="Q707" s="181"/>
    </row>
    <row r="708" spans="12:17">
      <c r="L708" s="193"/>
      <c r="M708" s="194"/>
      <c r="N708" s="195"/>
      <c r="O708" s="196"/>
      <c r="P708" s="5"/>
      <c r="Q708" s="181"/>
    </row>
    <row r="709" spans="12:17">
      <c r="L709" s="193"/>
      <c r="M709" s="194"/>
      <c r="N709" s="195"/>
      <c r="O709" s="196"/>
      <c r="P709" s="5"/>
      <c r="Q709" s="181"/>
    </row>
    <row r="710" spans="12:17">
      <c r="L710" s="193"/>
      <c r="M710" s="194"/>
      <c r="N710" s="195"/>
      <c r="O710" s="196"/>
      <c r="P710" s="5"/>
      <c r="Q710" s="181"/>
    </row>
    <row r="711" spans="12:17">
      <c r="L711" s="193"/>
      <c r="M711" s="194"/>
      <c r="N711" s="195"/>
      <c r="O711" s="196"/>
      <c r="P711" s="5"/>
      <c r="Q711" s="181"/>
    </row>
    <row r="712" spans="12:17">
      <c r="L712" s="193"/>
      <c r="M712" s="194"/>
      <c r="N712" s="195"/>
      <c r="O712" s="196"/>
      <c r="P712" s="5"/>
      <c r="Q712" s="181"/>
    </row>
    <row r="713" spans="12:17">
      <c r="L713" s="193"/>
      <c r="M713" s="194"/>
      <c r="N713" s="195"/>
      <c r="O713" s="196"/>
      <c r="P713" s="5"/>
      <c r="Q713" s="181"/>
    </row>
    <row r="714" spans="12:17">
      <c r="L714" s="193"/>
      <c r="M714" s="194"/>
      <c r="N714" s="195"/>
      <c r="O714" s="196"/>
      <c r="P714" s="5"/>
      <c r="Q714" s="181"/>
    </row>
    <row r="715" spans="12:17">
      <c r="L715" s="193"/>
      <c r="M715" s="194"/>
      <c r="N715" s="195"/>
      <c r="O715" s="196"/>
      <c r="P715" s="5"/>
      <c r="Q715" s="181"/>
    </row>
    <row r="716" spans="12:17">
      <c r="L716" s="193"/>
      <c r="M716" s="194"/>
      <c r="N716" s="195"/>
      <c r="O716" s="196"/>
      <c r="P716" s="5"/>
      <c r="Q716" s="181"/>
    </row>
    <row r="717" spans="12:17">
      <c r="L717" s="193"/>
      <c r="M717" s="194"/>
      <c r="N717" s="195"/>
      <c r="O717" s="196"/>
      <c r="P717" s="5"/>
      <c r="Q717" s="181"/>
    </row>
    <row r="718" spans="12:17">
      <c r="L718" s="193"/>
      <c r="M718" s="194"/>
      <c r="N718" s="195"/>
      <c r="O718" s="196"/>
      <c r="P718" s="5"/>
      <c r="Q718" s="181"/>
    </row>
    <row r="719" spans="12:17">
      <c r="L719" s="193"/>
      <c r="M719" s="194"/>
      <c r="N719" s="195"/>
      <c r="O719" s="196"/>
      <c r="P719" s="5"/>
      <c r="Q719" s="181"/>
    </row>
    <row r="720" spans="12:17">
      <c r="L720" s="193"/>
      <c r="M720" s="194"/>
      <c r="N720" s="195"/>
      <c r="O720" s="196"/>
      <c r="P720" s="5"/>
      <c r="Q720" s="181"/>
    </row>
    <row r="721" spans="12:17">
      <c r="L721" s="193"/>
      <c r="M721" s="194"/>
      <c r="N721" s="195"/>
      <c r="O721" s="196"/>
      <c r="P721" s="5"/>
      <c r="Q721" s="181"/>
    </row>
    <row r="722" spans="12:17">
      <c r="L722" s="193"/>
      <c r="M722" s="194"/>
      <c r="N722" s="195"/>
      <c r="O722" s="196"/>
      <c r="P722" s="5"/>
      <c r="Q722" s="181"/>
    </row>
    <row r="723" spans="12:17">
      <c r="L723" s="193"/>
      <c r="M723" s="194"/>
      <c r="N723" s="195"/>
      <c r="O723" s="196"/>
      <c r="P723" s="5"/>
      <c r="Q723" s="181"/>
    </row>
    <row r="724" spans="12:17">
      <c r="L724" s="193"/>
      <c r="M724" s="194"/>
      <c r="N724" s="195"/>
      <c r="O724" s="196"/>
      <c r="P724" s="5"/>
      <c r="Q724" s="181"/>
    </row>
    <row r="725" spans="12:17">
      <c r="L725" s="193"/>
      <c r="M725" s="194"/>
      <c r="N725" s="195"/>
      <c r="O725" s="196"/>
      <c r="P725" s="5"/>
      <c r="Q725" s="181"/>
    </row>
    <row r="726" spans="12:17">
      <c r="L726" s="193"/>
      <c r="M726" s="194"/>
      <c r="N726" s="195"/>
      <c r="O726" s="196"/>
      <c r="P726" s="5"/>
      <c r="Q726" s="181"/>
    </row>
    <row r="727" spans="12:17">
      <c r="L727" s="193"/>
      <c r="M727" s="194"/>
      <c r="N727" s="195"/>
      <c r="O727" s="196"/>
      <c r="P727" s="5"/>
      <c r="Q727" s="181"/>
    </row>
    <row r="728" spans="12:17">
      <c r="L728" s="193"/>
      <c r="M728" s="194"/>
      <c r="N728" s="195"/>
      <c r="O728" s="196"/>
      <c r="P728" s="5"/>
      <c r="Q728" s="181"/>
    </row>
    <row r="729" spans="12:17">
      <c r="L729" s="193"/>
      <c r="M729" s="194"/>
      <c r="N729" s="195"/>
      <c r="O729" s="196"/>
      <c r="P729" s="5"/>
      <c r="Q729" s="181"/>
    </row>
    <row r="730" spans="12:17">
      <c r="L730" s="193"/>
      <c r="M730" s="194"/>
      <c r="N730" s="195"/>
      <c r="O730" s="196"/>
      <c r="P730" s="5"/>
      <c r="Q730" s="181"/>
    </row>
    <row r="731" spans="12:17">
      <c r="L731" s="193"/>
      <c r="M731" s="194"/>
      <c r="N731" s="195"/>
      <c r="O731" s="196"/>
      <c r="P731" s="5"/>
      <c r="Q731" s="181"/>
    </row>
    <row r="732" spans="12:17">
      <c r="L732" s="193"/>
      <c r="M732" s="194"/>
      <c r="N732" s="195"/>
      <c r="O732" s="196"/>
      <c r="P732" s="5"/>
      <c r="Q732" s="181"/>
    </row>
    <row r="733" spans="12:17">
      <c r="L733" s="193"/>
      <c r="M733" s="194"/>
      <c r="N733" s="195"/>
      <c r="O733" s="196"/>
      <c r="P733" s="5"/>
      <c r="Q733" s="181"/>
    </row>
    <row r="734" spans="12:17">
      <c r="L734" s="193"/>
      <c r="M734" s="194"/>
      <c r="N734" s="195"/>
      <c r="O734" s="196"/>
      <c r="P734" s="5"/>
      <c r="Q734" s="181"/>
    </row>
    <row r="735" spans="12:17">
      <c r="L735" s="193"/>
      <c r="M735" s="194"/>
      <c r="N735" s="195"/>
      <c r="O735" s="196"/>
      <c r="P735" s="5"/>
      <c r="Q735" s="181"/>
    </row>
    <row r="736" spans="12:17">
      <c r="L736" s="193"/>
      <c r="M736" s="194"/>
      <c r="N736" s="195"/>
      <c r="O736" s="196"/>
      <c r="P736" s="5"/>
      <c r="Q736" s="181"/>
    </row>
    <row r="737" spans="12:17">
      <c r="L737" s="193"/>
      <c r="M737" s="194"/>
      <c r="N737" s="195"/>
      <c r="O737" s="196"/>
      <c r="P737" s="5"/>
      <c r="Q737" s="181"/>
    </row>
    <row r="738" spans="12:17">
      <c r="L738" s="193"/>
      <c r="M738" s="194"/>
      <c r="N738" s="195"/>
      <c r="O738" s="196"/>
      <c r="P738" s="5"/>
      <c r="Q738" s="181"/>
    </row>
    <row r="739" spans="12:17">
      <c r="L739" s="193"/>
      <c r="M739" s="194"/>
      <c r="N739" s="195"/>
      <c r="O739" s="196"/>
      <c r="P739" s="5"/>
      <c r="Q739" s="181"/>
    </row>
    <row r="740" spans="12:17">
      <c r="L740" s="193"/>
      <c r="M740" s="194"/>
      <c r="N740" s="195"/>
      <c r="O740" s="196"/>
      <c r="P740" s="5"/>
      <c r="Q740" s="181"/>
    </row>
    <row r="741" spans="12:17">
      <c r="L741" s="193"/>
      <c r="M741" s="194"/>
      <c r="N741" s="195"/>
      <c r="O741" s="196"/>
      <c r="P741" s="5"/>
      <c r="Q741" s="181"/>
    </row>
    <row r="742" spans="12:17">
      <c r="L742" s="193"/>
      <c r="M742" s="194"/>
      <c r="N742" s="195"/>
      <c r="O742" s="196"/>
      <c r="P742" s="5"/>
      <c r="Q742" s="181"/>
    </row>
    <row r="743" spans="12:17">
      <c r="L743" s="193"/>
      <c r="M743" s="194"/>
      <c r="N743" s="195"/>
      <c r="O743" s="196"/>
      <c r="P743" s="5"/>
      <c r="Q743" s="181"/>
    </row>
    <row r="744" spans="12:17">
      <c r="L744" s="193"/>
      <c r="M744" s="194"/>
      <c r="N744" s="195"/>
      <c r="O744" s="196"/>
      <c r="P744" s="5"/>
      <c r="Q744" s="181"/>
    </row>
    <row r="745" spans="12:17">
      <c r="L745" s="193"/>
      <c r="M745" s="194"/>
      <c r="N745" s="195"/>
      <c r="O745" s="196"/>
      <c r="P745" s="5"/>
      <c r="Q745" s="181"/>
    </row>
    <row r="746" spans="12:17">
      <c r="L746" s="193"/>
      <c r="M746" s="194"/>
      <c r="N746" s="195"/>
      <c r="O746" s="196"/>
      <c r="P746" s="5"/>
      <c r="Q746" s="181"/>
    </row>
    <row r="747" spans="12:17">
      <c r="L747" s="193"/>
      <c r="M747" s="194"/>
      <c r="N747" s="195"/>
      <c r="O747" s="196"/>
      <c r="P747" s="5"/>
      <c r="Q747" s="181"/>
    </row>
    <row r="748" spans="12:17">
      <c r="L748" s="193"/>
      <c r="M748" s="194"/>
      <c r="N748" s="195"/>
      <c r="O748" s="196"/>
      <c r="P748" s="5"/>
      <c r="Q748" s="181"/>
    </row>
    <row r="749" spans="12:17">
      <c r="L749" s="193"/>
      <c r="M749" s="194"/>
      <c r="N749" s="195"/>
      <c r="O749" s="196"/>
      <c r="P749" s="5"/>
      <c r="Q749" s="181"/>
    </row>
    <row r="750" spans="12:17">
      <c r="L750" s="193"/>
      <c r="M750" s="194"/>
      <c r="N750" s="195"/>
      <c r="O750" s="196"/>
      <c r="P750" s="5"/>
      <c r="Q750" s="181"/>
    </row>
    <row r="751" spans="12:17">
      <c r="L751" s="193"/>
      <c r="M751" s="194"/>
      <c r="N751" s="195"/>
      <c r="O751" s="196"/>
      <c r="P751" s="5"/>
      <c r="Q751" s="181"/>
    </row>
    <row r="752" spans="12:17">
      <c r="L752" s="193"/>
      <c r="M752" s="194"/>
      <c r="N752" s="195"/>
      <c r="O752" s="196"/>
      <c r="P752" s="5"/>
      <c r="Q752" s="181"/>
    </row>
    <row r="753" spans="12:17">
      <c r="L753" s="193"/>
      <c r="M753" s="194"/>
      <c r="N753" s="195"/>
      <c r="O753" s="196"/>
      <c r="P753" s="5"/>
      <c r="Q753" s="181"/>
    </row>
    <row r="754" spans="12:17">
      <c r="L754" s="193"/>
      <c r="M754" s="194"/>
      <c r="N754" s="195"/>
      <c r="O754" s="196"/>
      <c r="P754" s="5"/>
      <c r="Q754" s="181"/>
    </row>
    <row r="755" spans="12:17">
      <c r="L755" s="193"/>
      <c r="M755" s="194"/>
      <c r="N755" s="195"/>
      <c r="O755" s="196"/>
      <c r="P755" s="5"/>
      <c r="Q755" s="181"/>
    </row>
    <row r="756" spans="12:17">
      <c r="L756" s="193"/>
      <c r="M756" s="194"/>
      <c r="N756" s="195"/>
      <c r="O756" s="196"/>
      <c r="P756" s="5"/>
      <c r="Q756" s="181"/>
    </row>
    <row r="757" spans="12:17">
      <c r="L757" s="193"/>
      <c r="M757" s="194"/>
      <c r="N757" s="195"/>
      <c r="O757" s="196"/>
      <c r="P757" s="5"/>
      <c r="Q757" s="181"/>
    </row>
    <row r="758" spans="12:17">
      <c r="L758" s="193"/>
      <c r="M758" s="194"/>
      <c r="N758" s="195"/>
      <c r="O758" s="196"/>
      <c r="P758" s="5"/>
      <c r="Q758" s="181"/>
    </row>
    <row r="759" spans="12:17">
      <c r="L759" s="193"/>
      <c r="M759" s="194"/>
      <c r="N759" s="195"/>
      <c r="O759" s="196"/>
      <c r="P759" s="5"/>
      <c r="Q759" s="181"/>
    </row>
    <row r="760" spans="12:17">
      <c r="L760" s="193"/>
      <c r="M760" s="194"/>
      <c r="N760" s="195"/>
      <c r="O760" s="196"/>
      <c r="P760" s="5"/>
      <c r="Q760" s="181"/>
    </row>
    <row r="761" spans="12:17">
      <c r="L761" s="193"/>
      <c r="M761" s="194"/>
      <c r="N761" s="195"/>
      <c r="O761" s="196"/>
      <c r="P761" s="5"/>
      <c r="Q761" s="181"/>
    </row>
    <row r="762" spans="12:17">
      <c r="L762" s="193"/>
      <c r="M762" s="194"/>
      <c r="N762" s="195"/>
      <c r="O762" s="196"/>
      <c r="P762" s="5"/>
      <c r="Q762" s="181"/>
    </row>
    <row r="763" spans="12:17">
      <c r="L763" s="193"/>
      <c r="M763" s="194"/>
      <c r="N763" s="195"/>
      <c r="O763" s="196"/>
      <c r="P763" s="5"/>
      <c r="Q763" s="181"/>
    </row>
    <row r="764" spans="12:17">
      <c r="L764" s="193"/>
      <c r="M764" s="194"/>
      <c r="N764" s="195"/>
      <c r="O764" s="196"/>
      <c r="P764" s="5"/>
      <c r="Q764" s="181"/>
    </row>
    <row r="765" spans="12:17">
      <c r="L765" s="193"/>
      <c r="M765" s="194"/>
      <c r="N765" s="195"/>
      <c r="O765" s="196"/>
      <c r="P765" s="5"/>
      <c r="Q765" s="181"/>
    </row>
    <row r="766" spans="12:17">
      <c r="L766" s="193"/>
      <c r="M766" s="194"/>
      <c r="N766" s="195"/>
      <c r="O766" s="196"/>
      <c r="P766" s="5"/>
      <c r="Q766" s="181"/>
    </row>
    <row r="767" spans="12:17">
      <c r="L767" s="193"/>
      <c r="M767" s="194"/>
      <c r="N767" s="195"/>
      <c r="O767" s="196"/>
      <c r="P767" s="5"/>
      <c r="Q767" s="181"/>
    </row>
    <row r="768" spans="12:17">
      <c r="L768" s="193"/>
      <c r="M768" s="194"/>
      <c r="N768" s="195"/>
      <c r="O768" s="196"/>
      <c r="P768" s="5"/>
      <c r="Q768" s="181"/>
    </row>
    <row r="769" spans="12:17">
      <c r="L769" s="193"/>
      <c r="M769" s="194"/>
      <c r="N769" s="195"/>
      <c r="O769" s="196"/>
      <c r="P769" s="5"/>
      <c r="Q769" s="181"/>
    </row>
    <row r="770" spans="12:17">
      <c r="L770" s="193"/>
      <c r="M770" s="194"/>
      <c r="N770" s="195"/>
      <c r="O770" s="196"/>
      <c r="P770" s="5"/>
      <c r="Q770" s="181"/>
    </row>
    <row r="771" spans="12:17">
      <c r="L771" s="193"/>
      <c r="M771" s="194"/>
      <c r="N771" s="195"/>
      <c r="O771" s="196"/>
      <c r="P771" s="5"/>
      <c r="Q771" s="181"/>
    </row>
    <row r="772" spans="12:17">
      <c r="L772" s="193"/>
      <c r="M772" s="194"/>
      <c r="N772" s="195"/>
      <c r="O772" s="196"/>
      <c r="P772" s="5"/>
      <c r="Q772" s="181"/>
    </row>
    <row r="773" spans="12:17">
      <c r="L773" s="193"/>
      <c r="M773" s="194"/>
      <c r="N773" s="195"/>
      <c r="O773" s="196"/>
      <c r="P773" s="5"/>
      <c r="Q773" s="181"/>
    </row>
    <row r="774" spans="12:17">
      <c r="L774" s="193"/>
      <c r="M774" s="194"/>
      <c r="N774" s="195"/>
      <c r="O774" s="196"/>
      <c r="P774" s="5"/>
      <c r="Q774" s="181"/>
    </row>
    <row r="775" spans="12:17">
      <c r="L775" s="193"/>
      <c r="M775" s="194"/>
      <c r="N775" s="195"/>
      <c r="O775" s="196"/>
      <c r="P775" s="5"/>
      <c r="Q775" s="181"/>
    </row>
    <row r="776" spans="12:17">
      <c r="L776" s="193"/>
      <c r="M776" s="194"/>
      <c r="N776" s="195"/>
      <c r="O776" s="196"/>
      <c r="P776" s="5"/>
      <c r="Q776" s="181"/>
    </row>
    <row r="777" spans="12:17">
      <c r="L777" s="193"/>
      <c r="M777" s="194"/>
      <c r="N777" s="195"/>
      <c r="O777" s="196"/>
      <c r="P777" s="5"/>
      <c r="Q777" s="181"/>
    </row>
    <row r="778" spans="12:17">
      <c r="L778" s="193"/>
      <c r="M778" s="194"/>
      <c r="N778" s="195"/>
      <c r="O778" s="196"/>
      <c r="P778" s="5"/>
      <c r="Q778" s="181"/>
    </row>
    <row r="779" spans="12:17">
      <c r="L779" s="193"/>
      <c r="M779" s="194"/>
      <c r="N779" s="195"/>
      <c r="O779" s="196"/>
      <c r="P779" s="5"/>
      <c r="Q779" s="181"/>
    </row>
    <row r="780" spans="12:17">
      <c r="L780" s="193"/>
      <c r="M780" s="194"/>
      <c r="N780" s="195"/>
      <c r="O780" s="196"/>
      <c r="P780" s="5"/>
      <c r="Q780" s="181"/>
    </row>
    <row r="781" spans="12:17">
      <c r="L781" s="193"/>
      <c r="M781" s="194"/>
      <c r="N781" s="195"/>
      <c r="O781" s="196"/>
      <c r="P781" s="5"/>
      <c r="Q781" s="181"/>
    </row>
    <row r="782" spans="12:17">
      <c r="L782" s="193"/>
      <c r="M782" s="194"/>
      <c r="N782" s="195"/>
      <c r="O782" s="196"/>
      <c r="P782" s="5"/>
      <c r="Q782" s="181"/>
    </row>
    <row r="783" spans="12:17">
      <c r="L783" s="193"/>
      <c r="M783" s="194"/>
      <c r="N783" s="195"/>
      <c r="O783" s="196"/>
      <c r="P783" s="5"/>
      <c r="Q783" s="181"/>
    </row>
    <row r="784" spans="12:17">
      <c r="L784" s="193"/>
      <c r="M784" s="194"/>
      <c r="N784" s="195"/>
      <c r="O784" s="196"/>
      <c r="P784" s="5"/>
      <c r="Q784" s="181"/>
    </row>
    <row r="785" spans="12:17">
      <c r="L785" s="193"/>
      <c r="M785" s="194"/>
      <c r="N785" s="195"/>
      <c r="O785" s="196"/>
      <c r="P785" s="5"/>
      <c r="Q785" s="181"/>
    </row>
    <row r="786" spans="12:17">
      <c r="L786" s="193"/>
      <c r="M786" s="194"/>
      <c r="N786" s="195"/>
      <c r="O786" s="196"/>
      <c r="P786" s="5"/>
      <c r="Q786" s="181"/>
    </row>
    <row r="787" spans="12:17">
      <c r="L787" s="193"/>
      <c r="M787" s="194"/>
      <c r="N787" s="195"/>
      <c r="O787" s="196"/>
      <c r="P787" s="5"/>
      <c r="Q787" s="181"/>
    </row>
    <row r="788" spans="12:17">
      <c r="L788" s="193"/>
      <c r="M788" s="194"/>
      <c r="N788" s="195"/>
      <c r="O788" s="196"/>
      <c r="P788" s="5"/>
      <c r="Q788" s="181"/>
    </row>
    <row r="789" spans="12:17">
      <c r="L789" s="193"/>
      <c r="M789" s="194"/>
      <c r="N789" s="195"/>
      <c r="O789" s="196"/>
      <c r="P789" s="5"/>
      <c r="Q789" s="181"/>
    </row>
    <row r="790" spans="12:17">
      <c r="L790" s="193"/>
      <c r="M790" s="194"/>
      <c r="N790" s="195"/>
      <c r="O790" s="196"/>
      <c r="P790" s="5"/>
      <c r="Q790" s="181"/>
    </row>
    <row r="791" spans="12:17">
      <c r="L791" s="193"/>
      <c r="M791" s="194"/>
      <c r="N791" s="195"/>
      <c r="O791" s="196"/>
      <c r="P791" s="5"/>
      <c r="Q791" s="181"/>
    </row>
    <row r="792" spans="12:17">
      <c r="L792" s="193"/>
      <c r="M792" s="194"/>
      <c r="N792" s="195"/>
      <c r="O792" s="196"/>
      <c r="P792" s="5"/>
      <c r="Q792" s="181"/>
    </row>
    <row r="793" spans="12:17">
      <c r="L793" s="193"/>
      <c r="M793" s="194"/>
      <c r="N793" s="195"/>
      <c r="O793" s="196"/>
      <c r="P793" s="5"/>
      <c r="Q793" s="181"/>
    </row>
    <row r="794" spans="12:17">
      <c r="L794" s="193"/>
      <c r="M794" s="194"/>
      <c r="N794" s="195"/>
      <c r="O794" s="196"/>
      <c r="P794" s="5"/>
      <c r="Q794" s="181"/>
    </row>
    <row r="795" spans="12:17">
      <c r="L795" s="193"/>
      <c r="M795" s="194"/>
      <c r="N795" s="195"/>
      <c r="O795" s="196"/>
      <c r="P795" s="5"/>
      <c r="Q795" s="181"/>
    </row>
    <row r="796" spans="12:17">
      <c r="L796" s="193"/>
      <c r="M796" s="194"/>
      <c r="N796" s="195"/>
      <c r="O796" s="196"/>
      <c r="P796" s="5"/>
      <c r="Q796" s="181"/>
    </row>
    <row r="797" spans="12:17">
      <c r="L797" s="193"/>
      <c r="M797" s="194"/>
      <c r="N797" s="195"/>
      <c r="O797" s="196"/>
      <c r="P797" s="5"/>
      <c r="Q797" s="181"/>
    </row>
    <row r="798" spans="12:17">
      <c r="L798" s="193"/>
      <c r="M798" s="194"/>
      <c r="N798" s="195"/>
      <c r="O798" s="196"/>
      <c r="P798" s="5"/>
      <c r="Q798" s="181"/>
    </row>
    <row r="799" spans="12:17">
      <c r="L799" s="193"/>
      <c r="M799" s="194"/>
      <c r="N799" s="195"/>
      <c r="O799" s="196"/>
      <c r="P799" s="5"/>
      <c r="Q799" s="181"/>
    </row>
    <row r="800" spans="12:17">
      <c r="L800" s="193"/>
      <c r="M800" s="194"/>
      <c r="N800" s="195"/>
      <c r="O800" s="196"/>
      <c r="P800" s="5"/>
      <c r="Q800" s="181"/>
    </row>
    <row r="801" spans="12:17">
      <c r="L801" s="193"/>
      <c r="M801" s="194"/>
      <c r="N801" s="195"/>
      <c r="O801" s="196"/>
      <c r="P801" s="5"/>
      <c r="Q801" s="181"/>
    </row>
    <row r="802" spans="12:17">
      <c r="L802" s="193"/>
      <c r="M802" s="194"/>
      <c r="N802" s="195"/>
      <c r="O802" s="196"/>
      <c r="P802" s="5"/>
      <c r="Q802" s="181"/>
    </row>
    <row r="803" spans="12:17">
      <c r="L803" s="193"/>
      <c r="M803" s="194"/>
      <c r="N803" s="195"/>
      <c r="O803" s="196"/>
      <c r="P803" s="5"/>
      <c r="Q803" s="181"/>
    </row>
    <row r="804" spans="12:17">
      <c r="L804" s="193"/>
      <c r="M804" s="194"/>
      <c r="N804" s="195"/>
      <c r="O804" s="196"/>
      <c r="P804" s="5"/>
      <c r="Q804" s="181"/>
    </row>
    <row r="805" spans="12:17">
      <c r="L805" s="193"/>
      <c r="M805" s="194"/>
      <c r="N805" s="195"/>
      <c r="O805" s="196"/>
      <c r="P805" s="5"/>
      <c r="Q805" s="181"/>
    </row>
    <row r="806" spans="12:17">
      <c r="L806" s="193"/>
      <c r="M806" s="194"/>
      <c r="N806" s="195"/>
      <c r="O806" s="196"/>
      <c r="P806" s="5"/>
      <c r="Q806" s="181"/>
    </row>
    <row r="807" spans="12:17">
      <c r="L807" s="193"/>
      <c r="M807" s="194"/>
      <c r="N807" s="195"/>
      <c r="O807" s="196"/>
      <c r="P807" s="5"/>
      <c r="Q807" s="181"/>
    </row>
    <row r="808" spans="12:17">
      <c r="L808" s="193"/>
      <c r="M808" s="194"/>
      <c r="N808" s="195"/>
      <c r="O808" s="196"/>
      <c r="P808" s="5"/>
      <c r="Q808" s="181"/>
    </row>
    <row r="809" spans="12:17">
      <c r="L809" s="193"/>
      <c r="M809" s="194"/>
      <c r="N809" s="195"/>
      <c r="O809" s="196"/>
      <c r="P809" s="5"/>
      <c r="Q809" s="181"/>
    </row>
    <row r="810" spans="12:17">
      <c r="L810" s="193"/>
      <c r="M810" s="194"/>
      <c r="N810" s="195"/>
      <c r="O810" s="196"/>
      <c r="P810" s="5"/>
      <c r="Q810" s="181"/>
    </row>
    <row r="811" spans="12:17">
      <c r="L811" s="193"/>
      <c r="M811" s="194"/>
      <c r="N811" s="195"/>
      <c r="O811" s="196"/>
      <c r="P811" s="5"/>
      <c r="Q811" s="181"/>
    </row>
    <row r="812" spans="12:17">
      <c r="L812" s="193"/>
      <c r="M812" s="194"/>
      <c r="N812" s="195"/>
      <c r="O812" s="196"/>
      <c r="P812" s="5"/>
      <c r="Q812" s="181"/>
    </row>
    <row r="813" spans="12:17">
      <c r="L813" s="193"/>
      <c r="M813" s="194"/>
      <c r="N813" s="195"/>
      <c r="O813" s="196"/>
      <c r="P813" s="5"/>
      <c r="Q813" s="181"/>
    </row>
    <row r="814" spans="12:17">
      <c r="L814" s="193"/>
      <c r="M814" s="194"/>
      <c r="N814" s="195"/>
      <c r="O814" s="196"/>
      <c r="P814" s="5"/>
      <c r="Q814" s="181"/>
    </row>
    <row r="815" spans="12:17">
      <c r="L815" s="193"/>
      <c r="M815" s="194"/>
      <c r="N815" s="195"/>
      <c r="O815" s="196"/>
      <c r="P815" s="5"/>
      <c r="Q815" s="181"/>
    </row>
    <row r="816" spans="12:17">
      <c r="L816" s="193"/>
      <c r="M816" s="194"/>
      <c r="N816" s="195"/>
      <c r="O816" s="196"/>
      <c r="P816" s="5"/>
      <c r="Q816" s="181"/>
    </row>
    <row r="817" spans="12:17">
      <c r="L817" s="193"/>
      <c r="M817" s="194"/>
      <c r="N817" s="195"/>
      <c r="O817" s="196"/>
      <c r="P817" s="5"/>
      <c r="Q817" s="181"/>
    </row>
    <row r="818" spans="12:17">
      <c r="L818" s="193"/>
      <c r="M818" s="194"/>
      <c r="N818" s="195"/>
      <c r="O818" s="196"/>
      <c r="P818" s="5"/>
      <c r="Q818" s="181"/>
    </row>
    <row r="819" spans="12:17">
      <c r="L819" s="193"/>
      <c r="M819" s="194"/>
      <c r="N819" s="195"/>
      <c r="O819" s="196"/>
      <c r="P819" s="5"/>
      <c r="Q819" s="181"/>
    </row>
    <row r="820" spans="12:17">
      <c r="L820" s="193"/>
      <c r="M820" s="194"/>
      <c r="N820" s="195"/>
      <c r="O820" s="196"/>
      <c r="P820" s="5"/>
      <c r="Q820" s="181"/>
    </row>
    <row r="821" spans="12:17">
      <c r="L821" s="193"/>
      <c r="M821" s="194"/>
      <c r="N821" s="195"/>
      <c r="O821" s="196"/>
      <c r="P821" s="5"/>
      <c r="Q821" s="181"/>
    </row>
    <row r="822" spans="12:17">
      <c r="L822" s="193"/>
      <c r="M822" s="194"/>
      <c r="N822" s="195"/>
      <c r="O822" s="196"/>
      <c r="P822" s="5"/>
      <c r="Q822" s="181"/>
    </row>
    <row r="823" spans="12:17">
      <c r="L823" s="193"/>
      <c r="M823" s="194"/>
      <c r="N823" s="195"/>
      <c r="O823" s="196"/>
      <c r="P823" s="5"/>
      <c r="Q823" s="181"/>
    </row>
    <row r="824" spans="12:17">
      <c r="L824" s="193"/>
      <c r="M824" s="194"/>
      <c r="N824" s="195"/>
      <c r="O824" s="196"/>
      <c r="P824" s="5"/>
      <c r="Q824" s="181"/>
    </row>
    <row r="825" spans="12:17">
      <c r="L825" s="193"/>
      <c r="M825" s="194"/>
      <c r="N825" s="195"/>
      <c r="O825" s="196"/>
      <c r="P825" s="5"/>
      <c r="Q825" s="181"/>
    </row>
    <row r="826" spans="12:17">
      <c r="L826" s="193"/>
      <c r="M826" s="194"/>
      <c r="N826" s="195"/>
      <c r="O826" s="196"/>
      <c r="P826" s="5"/>
      <c r="Q826" s="181"/>
    </row>
    <row r="827" spans="12:17">
      <c r="L827" s="193"/>
      <c r="M827" s="194"/>
      <c r="N827" s="195"/>
      <c r="O827" s="196"/>
      <c r="P827" s="5"/>
      <c r="Q827" s="181"/>
    </row>
    <row r="828" spans="12:17">
      <c r="L828" s="193"/>
      <c r="M828" s="194"/>
      <c r="N828" s="195"/>
      <c r="O828" s="196"/>
      <c r="P828" s="5"/>
      <c r="Q828" s="181"/>
    </row>
    <row r="829" spans="12:17">
      <c r="L829" s="193"/>
      <c r="M829" s="194"/>
      <c r="N829" s="195"/>
      <c r="O829" s="196"/>
      <c r="P829" s="5"/>
      <c r="Q829" s="181"/>
    </row>
    <row r="830" spans="12:17">
      <c r="L830" s="193"/>
      <c r="M830" s="194"/>
      <c r="N830" s="195"/>
      <c r="O830" s="196"/>
      <c r="P830" s="5"/>
      <c r="Q830" s="181"/>
    </row>
    <row r="831" spans="12:17">
      <c r="L831" s="193"/>
      <c r="M831" s="194"/>
      <c r="N831" s="195"/>
      <c r="O831" s="196"/>
      <c r="P831" s="5"/>
      <c r="Q831" s="181"/>
    </row>
    <row r="832" spans="12:17">
      <c r="L832" s="193"/>
      <c r="M832" s="194"/>
      <c r="N832" s="195"/>
      <c r="O832" s="196"/>
      <c r="P832" s="5"/>
      <c r="Q832" s="181"/>
    </row>
    <row r="833" spans="12:17">
      <c r="L833" s="193"/>
      <c r="M833" s="194"/>
      <c r="N833" s="195"/>
      <c r="O833" s="196"/>
      <c r="P833" s="5"/>
      <c r="Q833" s="181"/>
    </row>
    <row r="834" spans="12:17">
      <c r="L834" s="193"/>
      <c r="M834" s="194"/>
      <c r="N834" s="195"/>
      <c r="O834" s="196"/>
      <c r="P834" s="5"/>
      <c r="Q834" s="181"/>
    </row>
    <row r="835" spans="12:17">
      <c r="L835" s="193"/>
      <c r="M835" s="194"/>
      <c r="N835" s="195"/>
      <c r="O835" s="196"/>
      <c r="P835" s="5"/>
      <c r="Q835" s="181"/>
    </row>
    <row r="836" spans="12:17">
      <c r="L836" s="193"/>
      <c r="M836" s="194"/>
      <c r="N836" s="195"/>
      <c r="O836" s="196"/>
      <c r="P836" s="5"/>
      <c r="Q836" s="181"/>
    </row>
    <row r="837" spans="12:17">
      <c r="L837" s="193"/>
      <c r="M837" s="194"/>
      <c r="N837" s="195"/>
      <c r="O837" s="196"/>
      <c r="P837" s="5"/>
      <c r="Q837" s="181"/>
    </row>
    <row r="838" spans="12:17">
      <c r="L838" s="193"/>
      <c r="M838" s="194"/>
      <c r="N838" s="195"/>
      <c r="O838" s="196"/>
      <c r="P838" s="5"/>
      <c r="Q838" s="181"/>
    </row>
    <row r="839" spans="12:17">
      <c r="L839" s="193"/>
      <c r="M839" s="194"/>
      <c r="N839" s="195"/>
      <c r="O839" s="196"/>
      <c r="P839" s="5"/>
      <c r="Q839" s="181"/>
    </row>
    <row r="840" spans="12:17">
      <c r="L840" s="193"/>
      <c r="M840" s="194"/>
      <c r="N840" s="195"/>
      <c r="O840" s="196"/>
      <c r="P840" s="5"/>
      <c r="Q840" s="181"/>
    </row>
    <row r="841" spans="12:17">
      <c r="L841" s="193"/>
      <c r="M841" s="194"/>
      <c r="N841" s="195"/>
      <c r="O841" s="196"/>
      <c r="P841" s="5"/>
      <c r="Q841" s="181"/>
    </row>
    <row r="842" spans="12:17">
      <c r="L842" s="193"/>
      <c r="M842" s="194"/>
      <c r="N842" s="195"/>
      <c r="O842" s="196"/>
      <c r="P842" s="5"/>
      <c r="Q842" s="181"/>
    </row>
    <row r="843" spans="12:17">
      <c r="L843" s="193"/>
      <c r="M843" s="194"/>
      <c r="N843" s="195"/>
      <c r="O843" s="196"/>
      <c r="P843" s="5"/>
      <c r="Q843" s="181"/>
    </row>
    <row r="844" spans="12:17">
      <c r="L844" s="193"/>
      <c r="M844" s="194"/>
      <c r="N844" s="195"/>
      <c r="O844" s="196"/>
      <c r="P844" s="5"/>
      <c r="Q844" s="181"/>
    </row>
    <row r="845" spans="12:17">
      <c r="L845" s="193"/>
      <c r="M845" s="194"/>
      <c r="N845" s="195"/>
      <c r="O845" s="196"/>
      <c r="P845" s="5"/>
      <c r="Q845" s="181"/>
    </row>
    <row r="846" spans="12:17">
      <c r="L846" s="193"/>
      <c r="M846" s="194"/>
      <c r="N846" s="195"/>
      <c r="O846" s="196"/>
      <c r="P846" s="5"/>
      <c r="Q846" s="181"/>
    </row>
    <row r="847" spans="12:17">
      <c r="L847" s="193"/>
      <c r="M847" s="194"/>
      <c r="N847" s="195"/>
      <c r="O847" s="196"/>
      <c r="P847" s="5"/>
      <c r="Q847" s="181"/>
    </row>
    <row r="848" spans="12:17">
      <c r="L848" s="193"/>
      <c r="M848" s="194"/>
      <c r="N848" s="195"/>
      <c r="O848" s="196"/>
      <c r="P848" s="5"/>
      <c r="Q848" s="181"/>
    </row>
    <row r="849" spans="12:17">
      <c r="L849" s="193"/>
      <c r="M849" s="194"/>
      <c r="N849" s="195"/>
      <c r="O849" s="196"/>
      <c r="P849" s="5"/>
      <c r="Q849" s="181"/>
    </row>
    <row r="850" spans="12:17">
      <c r="L850" s="193"/>
      <c r="M850" s="194"/>
      <c r="N850" s="195"/>
      <c r="O850" s="196"/>
      <c r="P850" s="5"/>
      <c r="Q850" s="181"/>
    </row>
    <row r="851" spans="12:17">
      <c r="L851" s="193"/>
      <c r="M851" s="194"/>
      <c r="N851" s="195"/>
      <c r="O851" s="196"/>
      <c r="P851" s="5"/>
      <c r="Q851" s="181"/>
    </row>
    <row r="852" spans="12:17">
      <c r="L852" s="193"/>
      <c r="M852" s="194"/>
      <c r="N852" s="195"/>
      <c r="O852" s="196"/>
      <c r="P852" s="5"/>
      <c r="Q852" s="181"/>
    </row>
    <row r="853" spans="12:17">
      <c r="L853" s="193"/>
      <c r="M853" s="194"/>
      <c r="N853" s="195"/>
      <c r="O853" s="196"/>
      <c r="P853" s="5"/>
      <c r="Q853" s="181"/>
    </row>
    <row r="854" spans="12:17">
      <c r="L854" s="193"/>
      <c r="M854" s="194"/>
      <c r="N854" s="195"/>
      <c r="O854" s="196"/>
      <c r="P854" s="5"/>
      <c r="Q854" s="181"/>
    </row>
    <row r="855" spans="12:17">
      <c r="L855" s="193"/>
      <c r="M855" s="194"/>
      <c r="N855" s="195"/>
      <c r="O855" s="196"/>
      <c r="P855" s="5"/>
      <c r="Q855" s="181"/>
    </row>
    <row r="856" spans="12:17">
      <c r="L856" s="193"/>
      <c r="M856" s="194"/>
      <c r="N856" s="195"/>
      <c r="O856" s="196"/>
      <c r="P856" s="5"/>
      <c r="Q856" s="181"/>
    </row>
    <row r="857" spans="12:17">
      <c r="L857" s="193"/>
      <c r="M857" s="194"/>
      <c r="N857" s="195"/>
      <c r="O857" s="196"/>
      <c r="P857" s="5"/>
      <c r="Q857" s="181"/>
    </row>
    <row r="858" spans="12:17">
      <c r="L858" s="193"/>
      <c r="M858" s="194"/>
      <c r="N858" s="195"/>
      <c r="O858" s="196"/>
      <c r="P858" s="5"/>
      <c r="Q858" s="181"/>
    </row>
    <row r="859" spans="12:17">
      <c r="L859" s="193"/>
      <c r="M859" s="194"/>
      <c r="N859" s="195"/>
      <c r="O859" s="196"/>
      <c r="P859" s="5"/>
      <c r="Q859" s="181"/>
    </row>
    <row r="860" spans="12:17">
      <c r="L860" s="193"/>
      <c r="M860" s="194"/>
      <c r="N860" s="195"/>
      <c r="O860" s="196"/>
      <c r="P860" s="5"/>
      <c r="Q860" s="181"/>
    </row>
    <row r="861" spans="12:17">
      <c r="L861" s="193"/>
      <c r="M861" s="194"/>
      <c r="N861" s="195"/>
      <c r="O861" s="196"/>
      <c r="P861" s="5"/>
      <c r="Q861" s="181"/>
    </row>
    <row r="862" spans="12:17">
      <c r="L862" s="193"/>
      <c r="M862" s="194"/>
      <c r="N862" s="195"/>
      <c r="O862" s="196"/>
      <c r="P862" s="5"/>
      <c r="Q862" s="181"/>
    </row>
    <row r="863" spans="12:17">
      <c r="L863" s="193"/>
      <c r="M863" s="194"/>
      <c r="N863" s="195"/>
      <c r="O863" s="196"/>
      <c r="P863" s="5"/>
      <c r="Q863" s="181"/>
    </row>
    <row r="864" spans="12:17">
      <c r="L864" s="193"/>
      <c r="M864" s="194"/>
      <c r="N864" s="195"/>
      <c r="O864" s="196"/>
      <c r="P864" s="5"/>
      <c r="Q864" s="181"/>
    </row>
    <row r="865" spans="12:17">
      <c r="L865" s="193"/>
      <c r="M865" s="194"/>
      <c r="N865" s="195"/>
      <c r="O865" s="196"/>
      <c r="P865" s="5"/>
      <c r="Q865" s="181"/>
    </row>
    <row r="866" spans="12:17">
      <c r="L866" s="193"/>
      <c r="M866" s="194"/>
      <c r="N866" s="195"/>
      <c r="O866" s="196"/>
      <c r="P866" s="5"/>
      <c r="Q866" s="181"/>
    </row>
    <row r="867" spans="12:17">
      <c r="L867" s="193"/>
      <c r="M867" s="194"/>
      <c r="N867" s="195"/>
      <c r="O867" s="196"/>
      <c r="P867" s="5"/>
      <c r="Q867" s="181"/>
    </row>
    <row r="868" spans="12:17">
      <c r="L868" s="193"/>
      <c r="M868" s="194"/>
      <c r="N868" s="195"/>
      <c r="O868" s="196"/>
      <c r="P868" s="5"/>
      <c r="Q868" s="181"/>
    </row>
    <row r="869" spans="12:17">
      <c r="L869" s="193"/>
      <c r="M869" s="194"/>
      <c r="N869" s="195"/>
      <c r="O869" s="196"/>
      <c r="P869" s="5"/>
      <c r="Q869" s="181"/>
    </row>
    <row r="870" spans="12:17">
      <c r="L870" s="193"/>
      <c r="M870" s="194"/>
      <c r="N870" s="195"/>
      <c r="O870" s="196"/>
      <c r="P870" s="5"/>
      <c r="Q870" s="181"/>
    </row>
    <row r="871" spans="12:17">
      <c r="L871" s="193"/>
      <c r="M871" s="194"/>
      <c r="N871" s="195"/>
      <c r="O871" s="196"/>
      <c r="P871" s="5"/>
      <c r="Q871" s="181"/>
    </row>
    <row r="872" spans="12:17">
      <c r="L872" s="193"/>
      <c r="M872" s="194"/>
      <c r="N872" s="195"/>
      <c r="O872" s="196"/>
      <c r="P872" s="5"/>
      <c r="Q872" s="181"/>
    </row>
    <row r="873" spans="12:17">
      <c r="L873" s="193"/>
      <c r="M873" s="194"/>
      <c r="N873" s="195"/>
      <c r="O873" s="196"/>
      <c r="P873" s="5"/>
      <c r="Q873" s="181"/>
    </row>
    <row r="874" spans="12:17">
      <c r="L874" s="193"/>
      <c r="M874" s="194"/>
      <c r="N874" s="195"/>
      <c r="O874" s="196"/>
      <c r="P874" s="5"/>
      <c r="Q874" s="181"/>
    </row>
    <row r="875" spans="12:17">
      <c r="L875" s="193"/>
      <c r="M875" s="194"/>
      <c r="N875" s="195"/>
      <c r="O875" s="196"/>
      <c r="P875" s="5"/>
      <c r="Q875" s="181"/>
    </row>
    <row r="876" spans="12:17">
      <c r="L876" s="193"/>
      <c r="M876" s="194"/>
      <c r="N876" s="195"/>
      <c r="O876" s="196"/>
      <c r="P876" s="5"/>
      <c r="Q876" s="181"/>
    </row>
    <row r="877" spans="12:17">
      <c r="L877" s="193"/>
      <c r="M877" s="194"/>
      <c r="N877" s="195"/>
      <c r="O877" s="196"/>
      <c r="P877" s="5"/>
      <c r="Q877" s="181"/>
    </row>
    <row r="878" spans="12:17">
      <c r="L878" s="193"/>
      <c r="M878" s="194"/>
      <c r="N878" s="195"/>
      <c r="O878" s="196"/>
      <c r="P878" s="5"/>
      <c r="Q878" s="181"/>
    </row>
    <row r="879" spans="12:17">
      <c r="L879" s="193"/>
      <c r="M879" s="194"/>
      <c r="N879" s="195"/>
      <c r="O879" s="196"/>
      <c r="P879" s="5"/>
      <c r="Q879" s="181"/>
    </row>
    <row r="880" spans="12:17">
      <c r="L880" s="193"/>
      <c r="M880" s="194"/>
      <c r="N880" s="195"/>
      <c r="O880" s="196"/>
      <c r="P880" s="5"/>
      <c r="Q880" s="181"/>
    </row>
    <row r="881" spans="12:17">
      <c r="L881" s="193"/>
      <c r="M881" s="194"/>
      <c r="N881" s="195"/>
      <c r="O881" s="196"/>
      <c r="P881" s="5"/>
      <c r="Q881" s="181"/>
    </row>
    <row r="882" spans="12:17">
      <c r="L882" s="193"/>
      <c r="M882" s="194"/>
      <c r="N882" s="195"/>
      <c r="O882" s="196"/>
      <c r="P882" s="5"/>
      <c r="Q882" s="181"/>
    </row>
    <row r="883" spans="12:17">
      <c r="L883" s="193"/>
      <c r="M883" s="194"/>
      <c r="N883" s="195"/>
      <c r="O883" s="196"/>
      <c r="P883" s="5"/>
      <c r="Q883" s="181"/>
    </row>
    <row r="884" spans="12:17">
      <c r="L884" s="193"/>
      <c r="M884" s="194"/>
      <c r="N884" s="195"/>
      <c r="O884" s="196"/>
      <c r="P884" s="5"/>
      <c r="Q884" s="181"/>
    </row>
    <row r="885" spans="12:17">
      <c r="L885" s="193"/>
      <c r="M885" s="194"/>
      <c r="N885" s="195"/>
      <c r="O885" s="196"/>
      <c r="P885" s="5"/>
      <c r="Q885" s="181"/>
    </row>
    <row r="886" spans="12:17">
      <c r="L886" s="193"/>
      <c r="M886" s="194"/>
      <c r="N886" s="195"/>
      <c r="O886" s="196"/>
      <c r="P886" s="5"/>
      <c r="Q886" s="181"/>
    </row>
    <row r="887" spans="12:17">
      <c r="L887" s="193"/>
      <c r="M887" s="194"/>
      <c r="N887" s="195"/>
      <c r="O887" s="196"/>
      <c r="P887" s="5"/>
      <c r="Q887" s="181"/>
    </row>
    <row r="888" spans="12:17">
      <c r="L888" s="193"/>
      <c r="M888" s="194"/>
      <c r="N888" s="195"/>
      <c r="O888" s="196"/>
      <c r="P888" s="5"/>
      <c r="Q888" s="181"/>
    </row>
    <row r="889" spans="12:17">
      <c r="L889" s="193"/>
      <c r="M889" s="194"/>
      <c r="N889" s="195"/>
      <c r="O889" s="196"/>
      <c r="P889" s="5"/>
      <c r="Q889" s="181"/>
    </row>
    <row r="890" spans="12:17">
      <c r="L890" s="193"/>
      <c r="M890" s="194"/>
      <c r="N890" s="195"/>
      <c r="O890" s="196"/>
      <c r="P890" s="5"/>
      <c r="Q890" s="181"/>
    </row>
    <row r="891" spans="12:17">
      <c r="L891" s="193"/>
      <c r="M891" s="194"/>
      <c r="N891" s="195"/>
      <c r="O891" s="196"/>
      <c r="P891" s="5"/>
      <c r="Q891" s="181"/>
    </row>
    <row r="892" spans="12:17">
      <c r="L892" s="193"/>
      <c r="M892" s="194"/>
      <c r="N892" s="195"/>
      <c r="O892" s="196"/>
      <c r="P892" s="5"/>
      <c r="Q892" s="181"/>
    </row>
    <row r="893" spans="12:17">
      <c r="L893" s="193"/>
      <c r="M893" s="194"/>
      <c r="N893" s="195"/>
      <c r="O893" s="196"/>
      <c r="P893" s="5"/>
      <c r="Q893" s="181"/>
    </row>
    <row r="894" spans="12:17">
      <c r="L894" s="193"/>
      <c r="M894" s="194"/>
      <c r="N894" s="195"/>
      <c r="O894" s="196"/>
      <c r="P894" s="5"/>
      <c r="Q894" s="181"/>
    </row>
    <row r="895" spans="12:17">
      <c r="L895" s="193"/>
      <c r="M895" s="194"/>
      <c r="N895" s="195"/>
      <c r="O895" s="196"/>
      <c r="P895" s="5"/>
      <c r="Q895" s="181"/>
    </row>
    <row r="896" spans="12:17">
      <c r="L896" s="193"/>
      <c r="M896" s="194"/>
      <c r="N896" s="195"/>
      <c r="O896" s="196"/>
      <c r="P896" s="5"/>
      <c r="Q896" s="181"/>
    </row>
    <row r="897" spans="12:17">
      <c r="L897" s="193"/>
      <c r="M897" s="194"/>
      <c r="N897" s="195"/>
      <c r="O897" s="196"/>
      <c r="P897" s="5"/>
      <c r="Q897" s="181"/>
    </row>
    <row r="898" spans="12:17">
      <c r="L898" s="193"/>
      <c r="M898" s="194"/>
      <c r="N898" s="195"/>
      <c r="O898" s="196"/>
      <c r="P898" s="5"/>
      <c r="Q898" s="181"/>
    </row>
    <row r="899" spans="12:17">
      <c r="L899" s="193"/>
      <c r="M899" s="194"/>
      <c r="N899" s="195"/>
      <c r="O899" s="196"/>
      <c r="P899" s="5"/>
      <c r="Q899" s="181"/>
    </row>
    <row r="900" spans="12:17">
      <c r="L900" s="193"/>
      <c r="M900" s="194"/>
      <c r="N900" s="195"/>
      <c r="O900" s="196"/>
      <c r="P900" s="5"/>
      <c r="Q900" s="181"/>
    </row>
    <row r="901" spans="12:17">
      <c r="L901" s="193"/>
      <c r="M901" s="194"/>
      <c r="N901" s="195"/>
      <c r="O901" s="196"/>
      <c r="P901" s="5"/>
      <c r="Q901" s="181"/>
    </row>
    <row r="902" spans="12:17">
      <c r="L902" s="193"/>
      <c r="M902" s="194"/>
      <c r="N902" s="195"/>
      <c r="O902" s="196"/>
      <c r="P902" s="5"/>
      <c r="Q902" s="181"/>
    </row>
    <row r="903" spans="12:17">
      <c r="L903" s="193"/>
      <c r="M903" s="194"/>
      <c r="N903" s="195"/>
      <c r="O903" s="196"/>
      <c r="P903" s="5"/>
      <c r="Q903" s="181"/>
    </row>
    <row r="904" spans="12:17">
      <c r="L904" s="193"/>
      <c r="M904" s="194"/>
      <c r="N904" s="195"/>
      <c r="O904" s="196"/>
      <c r="P904" s="5"/>
      <c r="Q904" s="181"/>
    </row>
    <row r="905" spans="12:17">
      <c r="L905" s="193"/>
      <c r="M905" s="194"/>
      <c r="N905" s="195"/>
      <c r="O905" s="196"/>
      <c r="P905" s="5"/>
      <c r="Q905" s="181"/>
    </row>
    <row r="906" spans="12:17">
      <c r="L906" s="193"/>
      <c r="M906" s="194"/>
      <c r="N906" s="195"/>
      <c r="O906" s="196"/>
      <c r="P906" s="5"/>
      <c r="Q906" s="181"/>
    </row>
    <row r="907" spans="12:17">
      <c r="L907" s="193"/>
      <c r="M907" s="194"/>
      <c r="N907" s="195"/>
      <c r="O907" s="196"/>
      <c r="P907" s="5"/>
      <c r="Q907" s="181"/>
    </row>
    <row r="908" spans="12:17">
      <c r="L908" s="193"/>
      <c r="M908" s="194"/>
      <c r="N908" s="195"/>
      <c r="O908" s="196"/>
      <c r="P908" s="5"/>
      <c r="Q908" s="181"/>
    </row>
    <row r="909" spans="12:17">
      <c r="L909" s="193"/>
      <c r="M909" s="194"/>
      <c r="N909" s="195"/>
      <c r="O909" s="196"/>
      <c r="P909" s="5"/>
      <c r="Q909" s="181"/>
    </row>
    <row r="910" spans="12:17">
      <c r="L910" s="193"/>
      <c r="M910" s="194"/>
      <c r="N910" s="195"/>
      <c r="O910" s="196"/>
      <c r="P910" s="5"/>
      <c r="Q910" s="181"/>
    </row>
    <row r="911" spans="12:17">
      <c r="L911" s="193"/>
      <c r="M911" s="194"/>
      <c r="N911" s="195"/>
      <c r="O911" s="196"/>
      <c r="P911" s="5"/>
      <c r="Q911" s="181"/>
    </row>
    <row r="912" spans="12:17">
      <c r="L912" s="193"/>
      <c r="M912" s="194"/>
      <c r="N912" s="195"/>
      <c r="O912" s="196"/>
      <c r="P912" s="5"/>
      <c r="Q912" s="181"/>
    </row>
    <row r="913" spans="12:17">
      <c r="L913" s="193"/>
      <c r="M913" s="194"/>
      <c r="N913" s="195"/>
      <c r="O913" s="196"/>
      <c r="P913" s="5"/>
      <c r="Q913" s="181"/>
    </row>
    <row r="914" spans="12:17">
      <c r="L914" s="193"/>
      <c r="M914" s="194"/>
      <c r="N914" s="195"/>
      <c r="O914" s="196"/>
      <c r="P914" s="5"/>
      <c r="Q914" s="181"/>
    </row>
    <row r="915" spans="12:17">
      <c r="L915" s="193"/>
      <c r="M915" s="194"/>
      <c r="N915" s="195"/>
      <c r="O915" s="196"/>
      <c r="P915" s="5"/>
      <c r="Q915" s="181"/>
    </row>
    <row r="916" spans="12:17">
      <c r="L916" s="193"/>
      <c r="M916" s="194"/>
      <c r="N916" s="195"/>
      <c r="O916" s="196"/>
      <c r="P916" s="5"/>
      <c r="Q916" s="181"/>
    </row>
    <row r="917" spans="12:17">
      <c r="L917" s="193"/>
      <c r="M917" s="194"/>
      <c r="N917" s="195"/>
      <c r="O917" s="196"/>
      <c r="P917" s="5"/>
      <c r="Q917" s="181"/>
    </row>
    <row r="918" spans="12:17">
      <c r="L918" s="193"/>
      <c r="M918" s="194"/>
      <c r="N918" s="195"/>
      <c r="O918" s="196"/>
      <c r="P918" s="5"/>
      <c r="Q918" s="181"/>
    </row>
    <row r="919" spans="12:17">
      <c r="L919" s="193"/>
      <c r="M919" s="194"/>
      <c r="N919" s="195"/>
      <c r="O919" s="196"/>
      <c r="P919" s="5"/>
      <c r="Q919" s="181"/>
    </row>
    <row r="920" spans="12:17">
      <c r="L920" s="193"/>
      <c r="M920" s="194"/>
      <c r="N920" s="195"/>
      <c r="O920" s="196"/>
      <c r="P920" s="5"/>
      <c r="Q920" s="181"/>
    </row>
    <row r="921" spans="12:17">
      <c r="L921" s="193"/>
      <c r="M921" s="194"/>
      <c r="N921" s="195"/>
      <c r="O921" s="196"/>
      <c r="P921" s="5"/>
      <c r="Q921" s="181"/>
    </row>
    <row r="922" spans="12:17">
      <c r="L922" s="193"/>
      <c r="M922" s="194"/>
      <c r="N922" s="195"/>
      <c r="O922" s="196"/>
      <c r="P922" s="5"/>
      <c r="Q922" s="181"/>
    </row>
    <row r="923" spans="12:17">
      <c r="L923" s="193"/>
      <c r="M923" s="194"/>
      <c r="N923" s="195"/>
      <c r="O923" s="196"/>
      <c r="P923" s="5"/>
      <c r="Q923" s="181"/>
    </row>
    <row r="924" spans="12:17">
      <c r="L924" s="193"/>
      <c r="M924" s="194"/>
      <c r="N924" s="195"/>
      <c r="O924" s="196"/>
      <c r="P924" s="5"/>
      <c r="Q924" s="181"/>
    </row>
    <row r="925" spans="12:17">
      <c r="L925" s="193"/>
      <c r="M925" s="194"/>
      <c r="N925" s="195"/>
      <c r="O925" s="196"/>
      <c r="P925" s="5"/>
      <c r="Q925" s="181"/>
    </row>
    <row r="926" spans="12:17">
      <c r="L926" s="193"/>
      <c r="M926" s="194"/>
      <c r="N926" s="195"/>
      <c r="O926" s="196"/>
      <c r="P926" s="5"/>
      <c r="Q926" s="181"/>
    </row>
    <row r="927" spans="12:17">
      <c r="L927" s="193"/>
      <c r="M927" s="194"/>
      <c r="N927" s="195"/>
      <c r="O927" s="196"/>
      <c r="P927" s="5"/>
      <c r="Q927" s="181"/>
    </row>
    <row r="928" spans="12:17">
      <c r="L928" s="193"/>
      <c r="M928" s="194"/>
      <c r="N928" s="195"/>
      <c r="O928" s="196"/>
      <c r="P928" s="5"/>
      <c r="Q928" s="181"/>
    </row>
    <row r="929" spans="12:17">
      <c r="L929" s="193"/>
      <c r="M929" s="194"/>
      <c r="N929" s="195"/>
      <c r="O929" s="196"/>
      <c r="P929" s="5"/>
      <c r="Q929" s="181"/>
    </row>
    <row r="930" spans="12:17">
      <c r="L930" s="193"/>
      <c r="M930" s="194"/>
      <c r="N930" s="195"/>
      <c r="O930" s="196"/>
      <c r="P930" s="5"/>
      <c r="Q930" s="181"/>
    </row>
    <row r="931" spans="12:17">
      <c r="L931" s="193"/>
      <c r="M931" s="194"/>
      <c r="N931" s="195"/>
      <c r="O931" s="196"/>
      <c r="P931" s="5"/>
      <c r="Q931" s="181"/>
    </row>
    <row r="932" spans="12:17">
      <c r="L932" s="193"/>
      <c r="M932" s="194"/>
      <c r="N932" s="195"/>
      <c r="O932" s="196"/>
      <c r="P932" s="5"/>
      <c r="Q932" s="181"/>
    </row>
    <row r="933" spans="12:17">
      <c r="L933" s="193"/>
      <c r="M933" s="194"/>
      <c r="N933" s="195"/>
      <c r="O933" s="196"/>
      <c r="P933" s="5"/>
      <c r="Q933" s="181"/>
    </row>
    <row r="934" spans="12:17">
      <c r="L934" s="193"/>
      <c r="M934" s="194"/>
      <c r="N934" s="195"/>
      <c r="O934" s="196"/>
      <c r="P934" s="5"/>
      <c r="Q934" s="181"/>
    </row>
    <row r="935" spans="12:17">
      <c r="L935" s="193"/>
      <c r="M935" s="194"/>
      <c r="N935" s="195"/>
      <c r="O935" s="196"/>
      <c r="P935" s="5"/>
      <c r="Q935" s="181"/>
    </row>
    <row r="936" spans="12:17">
      <c r="L936" s="193"/>
      <c r="M936" s="194"/>
      <c r="N936" s="195"/>
      <c r="O936" s="196"/>
      <c r="P936" s="5"/>
      <c r="Q936" s="181"/>
    </row>
    <row r="937" spans="12:17">
      <c r="L937" s="193"/>
      <c r="M937" s="194"/>
      <c r="N937" s="195"/>
      <c r="O937" s="196"/>
      <c r="P937" s="5"/>
      <c r="Q937" s="181"/>
    </row>
    <row r="938" spans="12:17">
      <c r="L938" s="193"/>
      <c r="M938" s="194"/>
      <c r="N938" s="195"/>
      <c r="O938" s="196"/>
      <c r="P938" s="5"/>
      <c r="Q938" s="181"/>
    </row>
    <row r="939" spans="12:17">
      <c r="L939" s="193"/>
      <c r="M939" s="194"/>
      <c r="N939" s="195"/>
      <c r="O939" s="196"/>
      <c r="P939" s="5"/>
      <c r="Q939" s="181"/>
    </row>
    <row r="940" spans="12:17">
      <c r="L940" s="193"/>
      <c r="M940" s="194"/>
      <c r="N940" s="195"/>
      <c r="O940" s="196"/>
      <c r="P940" s="5"/>
      <c r="Q940" s="181"/>
    </row>
    <row r="941" spans="12:17">
      <c r="L941" s="193"/>
      <c r="M941" s="194"/>
      <c r="N941" s="195"/>
      <c r="O941" s="196"/>
      <c r="P941" s="5"/>
      <c r="Q941" s="181"/>
    </row>
    <row r="942" spans="12:17">
      <c r="L942" s="193"/>
      <c r="M942" s="194"/>
      <c r="N942" s="195"/>
      <c r="O942" s="196"/>
      <c r="P942" s="5"/>
      <c r="Q942" s="181"/>
    </row>
    <row r="943" spans="12:17">
      <c r="L943" s="193"/>
      <c r="M943" s="194"/>
      <c r="N943" s="195"/>
      <c r="O943" s="196"/>
      <c r="P943" s="5"/>
      <c r="Q943" s="181"/>
    </row>
    <row r="944" spans="12:17">
      <c r="L944" s="193"/>
      <c r="M944" s="194"/>
      <c r="N944" s="195"/>
      <c r="O944" s="196"/>
      <c r="P944" s="5"/>
      <c r="Q944" s="181"/>
    </row>
    <row r="945" spans="12:17">
      <c r="L945" s="193"/>
      <c r="M945" s="194"/>
      <c r="N945" s="195"/>
      <c r="O945" s="196"/>
      <c r="P945" s="5"/>
      <c r="Q945" s="181"/>
    </row>
    <row r="946" spans="12:17">
      <c r="L946" s="193"/>
      <c r="M946" s="194"/>
      <c r="N946" s="195"/>
      <c r="O946" s="196"/>
      <c r="P946" s="5"/>
      <c r="Q946" s="181"/>
    </row>
    <row r="947" spans="12:17">
      <c r="L947" s="193"/>
      <c r="M947" s="194"/>
      <c r="N947" s="195"/>
      <c r="O947" s="196"/>
      <c r="P947" s="5"/>
      <c r="Q947" s="181"/>
    </row>
    <row r="948" spans="12:17">
      <c r="L948" s="193"/>
      <c r="M948" s="194"/>
      <c r="N948" s="195"/>
      <c r="O948" s="196"/>
      <c r="P948" s="5"/>
      <c r="Q948" s="181"/>
    </row>
    <row r="949" spans="12:17">
      <c r="L949" s="193"/>
      <c r="M949" s="194"/>
      <c r="N949" s="195"/>
      <c r="O949" s="196"/>
      <c r="P949" s="5"/>
      <c r="Q949" s="181"/>
    </row>
    <row r="950" spans="12:17">
      <c r="L950" s="193"/>
      <c r="M950" s="194"/>
      <c r="N950" s="195"/>
      <c r="O950" s="196"/>
      <c r="P950" s="5"/>
      <c r="Q950" s="181"/>
    </row>
    <row r="951" spans="12:17">
      <c r="L951" s="193"/>
      <c r="M951" s="194"/>
      <c r="N951" s="195"/>
      <c r="O951" s="196"/>
      <c r="P951" s="5"/>
      <c r="Q951" s="181"/>
    </row>
    <row r="952" spans="12:17">
      <c r="L952" s="193"/>
      <c r="M952" s="194"/>
      <c r="N952" s="195"/>
      <c r="O952" s="196"/>
      <c r="P952" s="5"/>
      <c r="Q952" s="181"/>
    </row>
    <row r="953" spans="12:17">
      <c r="L953" s="193"/>
      <c r="M953" s="194"/>
      <c r="N953" s="195"/>
      <c r="O953" s="196"/>
      <c r="P953" s="5"/>
      <c r="Q953" s="181"/>
    </row>
    <row r="954" spans="12:17">
      <c r="L954" s="193"/>
      <c r="M954" s="194"/>
      <c r="N954" s="195"/>
      <c r="O954" s="196"/>
      <c r="P954" s="5"/>
      <c r="Q954" s="181"/>
    </row>
    <row r="955" spans="12:17">
      <c r="L955" s="193"/>
      <c r="M955" s="194"/>
      <c r="N955" s="195"/>
      <c r="O955" s="196"/>
      <c r="P955" s="5"/>
      <c r="Q955" s="181"/>
    </row>
    <row r="956" spans="12:17">
      <c r="L956" s="193"/>
      <c r="M956" s="194"/>
      <c r="N956" s="195"/>
      <c r="O956" s="196"/>
      <c r="P956" s="5"/>
      <c r="Q956" s="181"/>
    </row>
    <row r="957" spans="12:17">
      <c r="L957" s="193"/>
      <c r="M957" s="194"/>
      <c r="N957" s="195"/>
      <c r="O957" s="196"/>
      <c r="P957" s="5"/>
      <c r="Q957" s="181"/>
    </row>
    <row r="958" spans="12:17">
      <c r="L958" s="193"/>
      <c r="M958" s="194"/>
      <c r="N958" s="195"/>
      <c r="O958" s="196"/>
      <c r="P958" s="5"/>
      <c r="Q958" s="181"/>
    </row>
    <row r="959" spans="12:17">
      <c r="L959" s="193"/>
      <c r="M959" s="194"/>
      <c r="N959" s="195"/>
      <c r="O959" s="196"/>
      <c r="P959" s="5"/>
      <c r="Q959" s="181"/>
    </row>
    <row r="960" spans="12:17">
      <c r="L960" s="193"/>
      <c r="M960" s="194"/>
      <c r="N960" s="195"/>
      <c r="O960" s="196"/>
      <c r="P960" s="5"/>
      <c r="Q960" s="181"/>
    </row>
    <row r="961" spans="12:17">
      <c r="L961" s="193"/>
      <c r="M961" s="194"/>
      <c r="N961" s="195"/>
      <c r="O961" s="196"/>
      <c r="P961" s="5"/>
      <c r="Q961" s="181"/>
    </row>
    <row r="962" spans="12:17">
      <c r="L962" s="193"/>
      <c r="M962" s="194"/>
      <c r="N962" s="195"/>
      <c r="O962" s="196"/>
      <c r="P962" s="5"/>
      <c r="Q962" s="181"/>
    </row>
    <row r="963" spans="12:17">
      <c r="L963" s="193"/>
      <c r="M963" s="194"/>
      <c r="N963" s="195"/>
      <c r="O963" s="196"/>
      <c r="P963" s="5"/>
      <c r="Q963" s="181"/>
    </row>
    <row r="964" spans="12:17">
      <c r="L964" s="193"/>
      <c r="M964" s="194"/>
      <c r="N964" s="195"/>
      <c r="O964" s="196"/>
      <c r="P964" s="5"/>
      <c r="Q964" s="181"/>
    </row>
    <row r="965" spans="12:17">
      <c r="L965" s="193"/>
      <c r="M965" s="194"/>
      <c r="N965" s="195"/>
      <c r="O965" s="196"/>
      <c r="P965" s="5"/>
      <c r="Q965" s="181"/>
    </row>
    <row r="966" spans="12:17">
      <c r="L966" s="193"/>
      <c r="M966" s="194"/>
      <c r="N966" s="195"/>
      <c r="O966" s="196"/>
      <c r="P966" s="5"/>
      <c r="Q966" s="181"/>
    </row>
    <row r="967" spans="12:17">
      <c r="L967" s="193"/>
      <c r="M967" s="194"/>
      <c r="N967" s="195"/>
      <c r="O967" s="196"/>
      <c r="P967" s="5"/>
      <c r="Q967" s="181"/>
    </row>
    <row r="968" spans="12:17">
      <c r="L968" s="193"/>
      <c r="M968" s="194"/>
      <c r="N968" s="195"/>
      <c r="O968" s="196"/>
      <c r="P968" s="5"/>
      <c r="Q968" s="181"/>
    </row>
    <row r="969" spans="12:17">
      <c r="L969" s="193"/>
      <c r="M969" s="194"/>
      <c r="N969" s="195"/>
      <c r="O969" s="196"/>
      <c r="P969" s="5"/>
      <c r="Q969" s="181"/>
    </row>
    <row r="970" spans="12:17">
      <c r="L970" s="193"/>
      <c r="M970" s="194"/>
      <c r="N970" s="195"/>
      <c r="O970" s="196"/>
      <c r="P970" s="5"/>
      <c r="Q970" s="181"/>
    </row>
    <row r="971" spans="12:17">
      <c r="L971" s="193"/>
      <c r="M971" s="194"/>
      <c r="N971" s="195"/>
      <c r="O971" s="196"/>
      <c r="P971" s="5"/>
      <c r="Q971" s="181"/>
    </row>
    <row r="972" spans="12:17">
      <c r="L972" s="193"/>
      <c r="M972" s="194"/>
      <c r="N972" s="195"/>
      <c r="O972" s="196"/>
      <c r="P972" s="5"/>
      <c r="Q972" s="181"/>
    </row>
    <row r="973" spans="12:17">
      <c r="L973" s="193"/>
      <c r="M973" s="194"/>
      <c r="N973" s="195"/>
      <c r="O973" s="196"/>
      <c r="P973" s="5"/>
      <c r="Q973" s="181"/>
    </row>
    <row r="974" spans="12:17">
      <c r="L974" s="193"/>
      <c r="M974" s="194"/>
      <c r="N974" s="195"/>
      <c r="O974" s="196"/>
      <c r="P974" s="5"/>
      <c r="Q974" s="181"/>
    </row>
    <row r="975" spans="12:17">
      <c r="L975" s="193"/>
      <c r="M975" s="194"/>
      <c r="N975" s="195"/>
      <c r="O975" s="196"/>
      <c r="P975" s="5"/>
      <c r="Q975" s="181"/>
    </row>
    <row r="976" spans="12:17">
      <c r="L976" s="193"/>
      <c r="M976" s="194"/>
      <c r="N976" s="195"/>
      <c r="O976" s="196"/>
      <c r="P976" s="5"/>
      <c r="Q976" s="181"/>
    </row>
    <row r="977" spans="12:17">
      <c r="L977" s="193"/>
      <c r="M977" s="194"/>
      <c r="N977" s="195"/>
      <c r="O977" s="196"/>
      <c r="P977" s="5"/>
      <c r="Q977" s="181"/>
    </row>
    <row r="978" spans="12:17">
      <c r="L978" s="193"/>
      <c r="M978" s="194"/>
      <c r="N978" s="195"/>
      <c r="O978" s="196"/>
      <c r="P978" s="5"/>
      <c r="Q978" s="181"/>
    </row>
    <row r="979" spans="12:17">
      <c r="L979" s="193"/>
      <c r="M979" s="194"/>
      <c r="N979" s="195"/>
      <c r="O979" s="196"/>
      <c r="P979" s="5"/>
      <c r="Q979" s="181"/>
    </row>
    <row r="980" spans="12:17">
      <c r="L980" s="193"/>
      <c r="M980" s="194"/>
      <c r="N980" s="195"/>
      <c r="O980" s="196"/>
      <c r="P980" s="5"/>
      <c r="Q980" s="181"/>
    </row>
    <row r="981" spans="12:17">
      <c r="L981" s="193"/>
      <c r="M981" s="194"/>
      <c r="N981" s="195"/>
      <c r="O981" s="196"/>
      <c r="P981" s="5"/>
      <c r="Q981" s="181"/>
    </row>
    <row r="982" spans="12:17">
      <c r="L982" s="193"/>
      <c r="M982" s="194"/>
      <c r="N982" s="195"/>
      <c r="O982" s="196"/>
      <c r="P982" s="5"/>
      <c r="Q982" s="181"/>
    </row>
    <row r="983" spans="12:17">
      <c r="L983" s="193"/>
      <c r="M983" s="194"/>
      <c r="N983" s="195"/>
      <c r="O983" s="196"/>
      <c r="P983" s="5"/>
      <c r="Q983" s="181"/>
    </row>
    <row r="984" spans="12:17">
      <c r="L984" s="193"/>
      <c r="M984" s="194"/>
      <c r="N984" s="195"/>
      <c r="O984" s="196"/>
      <c r="P984" s="5"/>
      <c r="Q984" s="181"/>
    </row>
    <row r="985" spans="12:17">
      <c r="L985" s="193"/>
      <c r="M985" s="194"/>
      <c r="N985" s="195"/>
      <c r="O985" s="196"/>
      <c r="P985" s="5"/>
      <c r="Q985" s="181"/>
    </row>
    <row r="986" spans="12:17">
      <c r="L986" s="193"/>
      <c r="M986" s="194"/>
      <c r="N986" s="195"/>
      <c r="O986" s="196"/>
      <c r="P986" s="5"/>
      <c r="Q986" s="181"/>
    </row>
    <row r="987" spans="12:17">
      <c r="L987" s="193"/>
      <c r="M987" s="194"/>
      <c r="N987" s="195"/>
      <c r="O987" s="196"/>
      <c r="P987" s="5"/>
      <c r="Q987" s="181"/>
    </row>
    <row r="988" spans="12:17">
      <c r="L988" s="193"/>
      <c r="M988" s="194"/>
      <c r="N988" s="195"/>
      <c r="O988" s="196"/>
      <c r="P988" s="5"/>
      <c r="Q988" s="181"/>
    </row>
    <row r="989" spans="12:17">
      <c r="L989" s="193"/>
      <c r="M989" s="194"/>
      <c r="N989" s="195"/>
      <c r="O989" s="196"/>
      <c r="P989" s="5"/>
      <c r="Q989" s="181"/>
    </row>
    <row r="990" spans="12:17">
      <c r="L990" s="193"/>
      <c r="M990" s="194"/>
      <c r="N990" s="195"/>
      <c r="O990" s="196"/>
      <c r="P990" s="5"/>
      <c r="Q990" s="181"/>
    </row>
    <row r="991" spans="12:17">
      <c r="L991" s="193"/>
      <c r="M991" s="194"/>
      <c r="N991" s="195"/>
      <c r="O991" s="196"/>
      <c r="P991" s="5"/>
      <c r="Q991" s="181"/>
    </row>
    <row r="992" spans="12:17">
      <c r="L992" s="193"/>
      <c r="M992" s="194"/>
      <c r="N992" s="195"/>
      <c r="O992" s="196"/>
      <c r="P992" s="5"/>
      <c r="Q992" s="181"/>
    </row>
    <row r="993" spans="12:17">
      <c r="L993" s="193"/>
      <c r="M993" s="194"/>
      <c r="N993" s="195"/>
      <c r="O993" s="196"/>
      <c r="P993" s="5"/>
      <c r="Q993" s="181"/>
    </row>
    <row r="994" spans="12:17">
      <c r="L994" s="193"/>
      <c r="M994" s="194"/>
      <c r="N994" s="195"/>
      <c r="O994" s="196"/>
      <c r="P994" s="5"/>
      <c r="Q994" s="181"/>
    </row>
    <row r="995" spans="12:17">
      <c r="L995" s="193"/>
      <c r="M995" s="194"/>
      <c r="N995" s="195"/>
      <c r="O995" s="196"/>
      <c r="P995" s="5"/>
      <c r="Q995" s="181"/>
    </row>
    <row r="996" spans="12:17">
      <c r="L996" s="193"/>
      <c r="M996" s="194"/>
      <c r="N996" s="195"/>
      <c r="O996" s="196"/>
      <c r="P996" s="5"/>
      <c r="Q996" s="181"/>
    </row>
    <row r="997" spans="12:17">
      <c r="L997" s="193"/>
      <c r="M997" s="194"/>
      <c r="N997" s="195"/>
      <c r="O997" s="196"/>
      <c r="P997" s="5"/>
      <c r="Q997" s="181"/>
    </row>
    <row r="998" spans="12:17">
      <c r="L998" s="193"/>
      <c r="M998" s="194"/>
      <c r="N998" s="195"/>
      <c r="O998" s="196"/>
      <c r="P998" s="5"/>
      <c r="Q998" s="181"/>
    </row>
    <row r="999" spans="12:17">
      <c r="L999" s="193"/>
      <c r="M999" s="194"/>
      <c r="N999" s="195"/>
      <c r="O999" s="196"/>
      <c r="P999" s="5"/>
      <c r="Q999" s="181"/>
    </row>
    <row r="1000" spans="12:17">
      <c r="L1000" s="193"/>
      <c r="M1000" s="194"/>
      <c r="N1000" s="195"/>
      <c r="O1000" s="196"/>
      <c r="P1000" s="5"/>
      <c r="Q1000" s="181"/>
    </row>
    <row r="1001" spans="12:17">
      <c r="L1001" s="193"/>
      <c r="M1001" s="194"/>
      <c r="N1001" s="195"/>
      <c r="O1001" s="196"/>
      <c r="P1001" s="5"/>
      <c r="Q1001" s="181"/>
    </row>
    <row r="1002" spans="12:17">
      <c r="L1002" s="193"/>
      <c r="M1002" s="194"/>
      <c r="N1002" s="195"/>
      <c r="O1002" s="196"/>
      <c r="P1002" s="5"/>
      <c r="Q1002" s="181"/>
    </row>
    <row r="1003" spans="12:17">
      <c r="L1003" s="193"/>
      <c r="M1003" s="194"/>
      <c r="N1003" s="195"/>
      <c r="O1003" s="196"/>
      <c r="P1003" s="5"/>
      <c r="Q1003" s="181"/>
    </row>
    <row r="1004" spans="12:17">
      <c r="L1004" s="193"/>
      <c r="M1004" s="194"/>
      <c r="N1004" s="195"/>
      <c r="O1004" s="196"/>
      <c r="P1004" s="5"/>
      <c r="Q1004" s="181"/>
    </row>
    <row r="1005" spans="12:17">
      <c r="L1005" s="193"/>
      <c r="M1005" s="194"/>
      <c r="N1005" s="195"/>
      <c r="O1005" s="196"/>
      <c r="P1005" s="5"/>
      <c r="Q1005" s="181"/>
    </row>
    <row r="1006" spans="12:17">
      <c r="L1006" s="193"/>
      <c r="M1006" s="194"/>
      <c r="N1006" s="195"/>
      <c r="O1006" s="196"/>
      <c r="P1006" s="5"/>
      <c r="Q1006" s="181"/>
    </row>
    <row r="1007" spans="12:17">
      <c r="L1007" s="193"/>
      <c r="M1007" s="194"/>
      <c r="N1007" s="195"/>
      <c r="O1007" s="196"/>
      <c r="P1007" s="5"/>
      <c r="Q1007" s="181"/>
    </row>
    <row r="1008" spans="12:17">
      <c r="L1008" s="193"/>
      <c r="M1008" s="194"/>
      <c r="N1008" s="195"/>
      <c r="O1008" s="196"/>
      <c r="P1008" s="5"/>
      <c r="Q1008" s="181"/>
    </row>
    <row r="1009" spans="12:12">
      <c r="L1009" s="193"/>
    </row>
    <row r="1010" spans="12:12">
      <c r="L1010" s="193"/>
    </row>
    <row r="1011" spans="12:12">
      <c r="L1011" s="193"/>
    </row>
    <row r="1012" spans="12:12">
      <c r="L1012" s="193"/>
    </row>
    <row r="1013" spans="12:12">
      <c r="L1013" s="193"/>
    </row>
  </sheetData>
  <pageMargins left="0.7" right="0.7" top="0.75" bottom="0.75" header="0.3" footer="0.3"/>
  <pageSetup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2:AL121"/>
  <sheetViews>
    <sheetView zoomScaleNormal="100" workbookViewId="0"/>
  </sheetViews>
  <sheetFormatPr defaultRowHeight="12"/>
  <cols>
    <col min="1" max="1" width="9.140625" style="1"/>
    <col min="2" max="2" width="25" style="2" customWidth="1"/>
    <col min="3" max="3" width="9.42578125" style="1" bestFit="1" customWidth="1"/>
    <col min="4" max="4" width="9.140625" style="1" customWidth="1"/>
    <col min="5" max="8" width="9.28515625" style="1" bestFit="1" customWidth="1"/>
    <col min="9" max="9" width="9.140625" style="1" customWidth="1"/>
    <col min="10" max="13" width="9.28515625" style="1" bestFit="1" customWidth="1"/>
    <col min="14" max="14" width="9.140625" style="1" customWidth="1"/>
    <col min="15" max="38" width="9.28515625" style="1" bestFit="1" customWidth="1"/>
    <col min="39" max="16384" width="9.140625" style="1"/>
  </cols>
  <sheetData>
    <row r="2" spans="2:38">
      <c r="B2" s="270" t="s">
        <v>267</v>
      </c>
      <c r="C2" s="268"/>
      <c r="D2" s="30"/>
      <c r="E2" s="270" t="s">
        <v>171</v>
      </c>
      <c r="F2" s="268"/>
      <c r="G2" s="268"/>
      <c r="AH2" s="5"/>
      <c r="AI2" s="5"/>
      <c r="AJ2" s="5"/>
      <c r="AK2" s="5"/>
      <c r="AL2" s="5"/>
    </row>
    <row r="3" spans="2:38">
      <c r="B3" s="4"/>
      <c r="C3" s="4"/>
      <c r="E3" s="4"/>
      <c r="F3" s="4"/>
      <c r="G3" s="4"/>
      <c r="I3" s="5"/>
      <c r="AH3" s="5"/>
      <c r="AI3" s="5"/>
      <c r="AJ3" s="5"/>
      <c r="AK3" s="5"/>
      <c r="AL3" s="5"/>
    </row>
    <row r="4" spans="2:38">
      <c r="B4" s="253" t="s">
        <v>242</v>
      </c>
      <c r="C4" s="254">
        <f>IF(Province!C4=1,MAX(Valuation!C22:C24),MIN(Valuation!C22:C24))</f>
        <v>11030.603305493209</v>
      </c>
      <c r="E4" s="253" t="s">
        <v>158</v>
      </c>
      <c r="F4" s="4"/>
      <c r="G4" s="255">
        <v>0.08</v>
      </c>
      <c r="I4" s="5"/>
      <c r="AH4" s="5"/>
      <c r="AI4" s="5"/>
      <c r="AJ4" s="5"/>
      <c r="AK4" s="5"/>
      <c r="AL4" s="5"/>
    </row>
    <row r="5" spans="2:38">
      <c r="B5" s="253" t="s">
        <v>265</v>
      </c>
      <c r="C5" s="256">
        <v>10695</v>
      </c>
      <c r="E5" s="253" t="s">
        <v>172</v>
      </c>
      <c r="F5" s="4"/>
      <c r="G5" s="257">
        <v>0.26500000000000001</v>
      </c>
      <c r="AH5" s="5"/>
      <c r="AI5" s="5"/>
      <c r="AJ5" s="5"/>
      <c r="AK5" s="5"/>
      <c r="AL5" s="5"/>
    </row>
    <row r="6" spans="2:38">
      <c r="B6" s="253" t="s">
        <v>281</v>
      </c>
      <c r="C6" s="258">
        <v>5620</v>
      </c>
      <c r="E6" s="253" t="s">
        <v>173</v>
      </c>
      <c r="F6" s="4"/>
      <c r="G6" s="257">
        <v>0.16900000000000001</v>
      </c>
      <c r="AH6" s="5"/>
      <c r="AI6" s="5"/>
      <c r="AJ6" s="5"/>
      <c r="AK6" s="5"/>
      <c r="AL6" s="5"/>
    </row>
    <row r="7" spans="2:38">
      <c r="B7" s="253" t="s">
        <v>282</v>
      </c>
      <c r="C7" s="254">
        <f>SUM(C4:C6)</f>
        <v>27345.603305493209</v>
      </c>
      <c r="E7" s="253" t="s">
        <v>174</v>
      </c>
      <c r="F7" s="4"/>
      <c r="G7" s="255">
        <v>0.4</v>
      </c>
      <c r="AH7" s="5"/>
      <c r="AI7" s="5"/>
      <c r="AJ7" s="5"/>
      <c r="AK7" s="5"/>
      <c r="AL7" s="5"/>
    </row>
    <row r="8" spans="2:38">
      <c r="B8" s="253" t="s">
        <v>280</v>
      </c>
      <c r="C8" s="78">
        <f>-(Hydro!T96-Hydro!T87)</f>
        <v>-6679</v>
      </c>
      <c r="E8" s="253" t="s">
        <v>175</v>
      </c>
      <c r="F8" s="4"/>
      <c r="G8" s="257">
        <v>0.04</v>
      </c>
      <c r="AH8" s="5"/>
      <c r="AI8" s="5"/>
      <c r="AJ8" s="5"/>
      <c r="AK8" s="5"/>
      <c r="AL8" s="5"/>
    </row>
    <row r="9" spans="2:38">
      <c r="B9" s="317" t="s">
        <v>266</v>
      </c>
      <c r="C9" s="318">
        <f>C7+C8</f>
        <v>20666.603305493209</v>
      </c>
      <c r="E9" s="253" t="s">
        <v>115</v>
      </c>
      <c r="F9" s="4"/>
      <c r="G9" s="255">
        <v>0.92321044981737876</v>
      </c>
      <c r="R9" s="5"/>
      <c r="AH9" s="5"/>
      <c r="AI9" s="5"/>
      <c r="AJ9" s="5"/>
      <c r="AK9" s="5"/>
      <c r="AL9" s="5"/>
    </row>
    <row r="10" spans="2:38">
      <c r="B10" s="259"/>
      <c r="C10" s="162"/>
      <c r="AH10" s="5"/>
      <c r="AI10" s="5"/>
      <c r="AJ10" s="5"/>
      <c r="AK10" s="5"/>
      <c r="AL10" s="5"/>
    </row>
    <row r="11" spans="2:38">
      <c r="B11" s="270" t="s">
        <v>56</v>
      </c>
      <c r="C11" s="271">
        <v>2015</v>
      </c>
      <c r="D11" s="271">
        <f t="shared" ref="D11:AL11" si="0">C11+1</f>
        <v>2016</v>
      </c>
      <c r="E11" s="271">
        <f t="shared" si="0"/>
        <v>2017</v>
      </c>
      <c r="F11" s="271">
        <f t="shared" si="0"/>
        <v>2018</v>
      </c>
      <c r="G11" s="271">
        <f t="shared" si="0"/>
        <v>2019</v>
      </c>
      <c r="H11" s="271">
        <f t="shared" si="0"/>
        <v>2020</v>
      </c>
      <c r="I11" s="271">
        <f t="shared" si="0"/>
        <v>2021</v>
      </c>
      <c r="J11" s="271">
        <f t="shared" si="0"/>
        <v>2022</v>
      </c>
      <c r="K11" s="271">
        <f t="shared" si="0"/>
        <v>2023</v>
      </c>
      <c r="L11" s="271">
        <f t="shared" si="0"/>
        <v>2024</v>
      </c>
      <c r="M11" s="271">
        <f t="shared" si="0"/>
        <v>2025</v>
      </c>
      <c r="N11" s="271">
        <f t="shared" si="0"/>
        <v>2026</v>
      </c>
      <c r="O11" s="271">
        <f t="shared" si="0"/>
        <v>2027</v>
      </c>
      <c r="P11" s="271">
        <f t="shared" si="0"/>
        <v>2028</v>
      </c>
      <c r="Q11" s="271">
        <f t="shared" si="0"/>
        <v>2029</v>
      </c>
      <c r="R11" s="271">
        <f t="shared" si="0"/>
        <v>2030</v>
      </c>
      <c r="S11" s="271">
        <f t="shared" si="0"/>
        <v>2031</v>
      </c>
      <c r="T11" s="271">
        <f t="shared" si="0"/>
        <v>2032</v>
      </c>
      <c r="U11" s="271">
        <f t="shared" si="0"/>
        <v>2033</v>
      </c>
      <c r="V11" s="271">
        <f t="shared" si="0"/>
        <v>2034</v>
      </c>
      <c r="W11" s="271">
        <f t="shared" si="0"/>
        <v>2035</v>
      </c>
      <c r="X11" s="271">
        <f t="shared" si="0"/>
        <v>2036</v>
      </c>
      <c r="Y11" s="271">
        <f t="shared" si="0"/>
        <v>2037</v>
      </c>
      <c r="Z11" s="271">
        <f t="shared" si="0"/>
        <v>2038</v>
      </c>
      <c r="AA11" s="271">
        <f t="shared" si="0"/>
        <v>2039</v>
      </c>
      <c r="AB11" s="271">
        <f t="shared" si="0"/>
        <v>2040</v>
      </c>
      <c r="AC11" s="271">
        <f t="shared" si="0"/>
        <v>2041</v>
      </c>
      <c r="AD11" s="271">
        <f t="shared" si="0"/>
        <v>2042</v>
      </c>
      <c r="AE11" s="271">
        <f t="shared" si="0"/>
        <v>2043</v>
      </c>
      <c r="AF11" s="271">
        <f t="shared" si="0"/>
        <v>2044</v>
      </c>
      <c r="AG11" s="271">
        <f t="shared" si="0"/>
        <v>2045</v>
      </c>
      <c r="AH11" s="271">
        <f t="shared" si="0"/>
        <v>2046</v>
      </c>
      <c r="AI11" s="271">
        <f t="shared" si="0"/>
        <v>2047</v>
      </c>
      <c r="AJ11" s="271">
        <f t="shared" si="0"/>
        <v>2048</v>
      </c>
      <c r="AK11" s="271">
        <f t="shared" si="0"/>
        <v>2049</v>
      </c>
      <c r="AL11" s="271">
        <f t="shared" si="0"/>
        <v>2050</v>
      </c>
    </row>
    <row r="12" spans="2:38">
      <c r="B12" s="87"/>
      <c r="C12" s="5"/>
      <c r="D12" s="5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2:38">
      <c r="B13" s="87" t="s">
        <v>9</v>
      </c>
      <c r="C13" s="5">
        <f>Hydro!R44</f>
        <v>747</v>
      </c>
      <c r="D13" s="5">
        <f t="shared" ref="D13:AL13" si="1">C13*(1+$G$8)</f>
        <v>776.88</v>
      </c>
      <c r="E13" s="5">
        <f t="shared" si="1"/>
        <v>807.95519999999999</v>
      </c>
      <c r="F13" s="5">
        <f t="shared" si="1"/>
        <v>840.27340800000002</v>
      </c>
      <c r="G13" s="5">
        <f t="shared" si="1"/>
        <v>873.88434432000008</v>
      </c>
      <c r="H13" s="5">
        <f t="shared" si="1"/>
        <v>908.83971809280013</v>
      </c>
      <c r="I13" s="5">
        <f t="shared" si="1"/>
        <v>945.19330681651218</v>
      </c>
      <c r="J13" s="5">
        <f t="shared" si="1"/>
        <v>983.00103908917265</v>
      </c>
      <c r="K13" s="5">
        <f t="shared" si="1"/>
        <v>1022.3210806527396</v>
      </c>
      <c r="L13" s="5">
        <f t="shared" si="1"/>
        <v>1063.2139238788493</v>
      </c>
      <c r="M13" s="5">
        <f t="shared" si="1"/>
        <v>1105.7424808340033</v>
      </c>
      <c r="N13" s="5">
        <f t="shared" si="1"/>
        <v>1149.9721800673635</v>
      </c>
      <c r="O13" s="5">
        <f t="shared" si="1"/>
        <v>1195.971067270058</v>
      </c>
      <c r="P13" s="5">
        <f t="shared" si="1"/>
        <v>1243.8099099608603</v>
      </c>
      <c r="Q13" s="5">
        <f t="shared" si="1"/>
        <v>1293.5623063592948</v>
      </c>
      <c r="R13" s="5">
        <f t="shared" si="1"/>
        <v>1345.3047986136667</v>
      </c>
      <c r="S13" s="5">
        <f t="shared" si="1"/>
        <v>1399.1169905582133</v>
      </c>
      <c r="T13" s="5">
        <f t="shared" si="1"/>
        <v>1455.0816701805418</v>
      </c>
      <c r="U13" s="5">
        <f t="shared" si="1"/>
        <v>1513.2849369877636</v>
      </c>
      <c r="V13" s="5">
        <f t="shared" si="1"/>
        <v>1573.8163344672741</v>
      </c>
      <c r="W13" s="5">
        <f t="shared" si="1"/>
        <v>1636.7689878459651</v>
      </c>
      <c r="X13" s="5">
        <f t="shared" si="1"/>
        <v>1702.2397473598037</v>
      </c>
      <c r="Y13" s="5">
        <f t="shared" si="1"/>
        <v>1770.3293372541959</v>
      </c>
      <c r="Z13" s="5">
        <f t="shared" si="1"/>
        <v>1841.1425107443638</v>
      </c>
      <c r="AA13" s="5">
        <f t="shared" si="1"/>
        <v>1914.7882111741385</v>
      </c>
      <c r="AB13" s="5">
        <f t="shared" si="1"/>
        <v>1991.3797396211041</v>
      </c>
      <c r="AC13" s="5">
        <f t="shared" si="1"/>
        <v>2071.0349292059482</v>
      </c>
      <c r="AD13" s="5">
        <f t="shared" si="1"/>
        <v>2153.8763263741862</v>
      </c>
      <c r="AE13" s="5">
        <f t="shared" si="1"/>
        <v>2240.0313794291537</v>
      </c>
      <c r="AF13" s="5">
        <f t="shared" si="1"/>
        <v>2329.6326346063202</v>
      </c>
      <c r="AG13" s="5">
        <f t="shared" si="1"/>
        <v>2422.817939990573</v>
      </c>
      <c r="AH13" s="5">
        <f t="shared" si="1"/>
        <v>2519.7306575901962</v>
      </c>
      <c r="AI13" s="5">
        <f t="shared" si="1"/>
        <v>2620.519883893804</v>
      </c>
      <c r="AJ13" s="5">
        <f t="shared" si="1"/>
        <v>2725.3406792495562</v>
      </c>
      <c r="AK13" s="5">
        <f t="shared" si="1"/>
        <v>2834.3543064195387</v>
      </c>
      <c r="AL13" s="5">
        <f t="shared" si="1"/>
        <v>2947.7284786763203</v>
      </c>
    </row>
    <row r="14" spans="2:38">
      <c r="B14" s="87"/>
      <c r="C14" s="5"/>
      <c r="D14" s="5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2:38">
      <c r="B15" s="87" t="s">
        <v>176</v>
      </c>
      <c r="C15" s="5">
        <f>Hydro!R40-Hydro!R26</f>
        <v>1558</v>
      </c>
      <c r="D15" s="5">
        <f t="shared" ref="D15:AL15" si="2">C15*(1+$G$8)</f>
        <v>1620.3200000000002</v>
      </c>
      <c r="E15" s="5">
        <f t="shared" si="2"/>
        <v>1685.1328000000003</v>
      </c>
      <c r="F15" s="5">
        <f t="shared" si="2"/>
        <v>1752.5381120000004</v>
      </c>
      <c r="G15" s="5">
        <f t="shared" si="2"/>
        <v>1822.6396364800005</v>
      </c>
      <c r="H15" s="5">
        <f t="shared" si="2"/>
        <v>1895.5452219392005</v>
      </c>
      <c r="I15" s="5">
        <f t="shared" si="2"/>
        <v>1971.3670308167686</v>
      </c>
      <c r="J15" s="5">
        <f t="shared" si="2"/>
        <v>2050.2217120494392</v>
      </c>
      <c r="K15" s="5">
        <f t="shared" si="2"/>
        <v>2132.2305805314168</v>
      </c>
      <c r="L15" s="5">
        <f t="shared" si="2"/>
        <v>2217.5198037526734</v>
      </c>
      <c r="M15" s="5">
        <f t="shared" si="2"/>
        <v>2306.2205959027806</v>
      </c>
      <c r="N15" s="5">
        <f t="shared" si="2"/>
        <v>2398.4694197388917</v>
      </c>
      <c r="O15" s="5">
        <f t="shared" si="2"/>
        <v>2494.4081965284477</v>
      </c>
      <c r="P15" s="5">
        <f t="shared" si="2"/>
        <v>2594.1845243895855</v>
      </c>
      <c r="Q15" s="5">
        <f t="shared" si="2"/>
        <v>2697.9519053651688</v>
      </c>
      <c r="R15" s="5">
        <f t="shared" si="2"/>
        <v>2805.8699815797759</v>
      </c>
      <c r="S15" s="5">
        <f t="shared" si="2"/>
        <v>2918.1047808429671</v>
      </c>
      <c r="T15" s="5">
        <f t="shared" si="2"/>
        <v>3034.8289720766861</v>
      </c>
      <c r="U15" s="5">
        <f t="shared" si="2"/>
        <v>3156.2221309597535</v>
      </c>
      <c r="V15" s="5">
        <f t="shared" si="2"/>
        <v>3282.4710161981438</v>
      </c>
      <c r="W15" s="5">
        <f t="shared" si="2"/>
        <v>3413.7698568460696</v>
      </c>
      <c r="X15" s="5">
        <f t="shared" si="2"/>
        <v>3550.3206511199123</v>
      </c>
      <c r="Y15" s="5">
        <f t="shared" si="2"/>
        <v>3692.3334771647092</v>
      </c>
      <c r="Z15" s="5">
        <f t="shared" si="2"/>
        <v>3840.0268162512975</v>
      </c>
      <c r="AA15" s="5">
        <f t="shared" si="2"/>
        <v>3993.6278889013497</v>
      </c>
      <c r="AB15" s="5">
        <f t="shared" si="2"/>
        <v>4153.373004457404</v>
      </c>
      <c r="AC15" s="5">
        <f t="shared" si="2"/>
        <v>4319.5079246357</v>
      </c>
      <c r="AD15" s="5">
        <f t="shared" si="2"/>
        <v>4492.2882416211278</v>
      </c>
      <c r="AE15" s="5">
        <f t="shared" si="2"/>
        <v>4671.9797712859727</v>
      </c>
      <c r="AF15" s="5">
        <f t="shared" si="2"/>
        <v>4858.8589621374122</v>
      </c>
      <c r="AG15" s="5">
        <f t="shared" si="2"/>
        <v>5053.2133206229091</v>
      </c>
      <c r="AH15" s="5">
        <f t="shared" si="2"/>
        <v>5255.341853447826</v>
      </c>
      <c r="AI15" s="5">
        <f t="shared" si="2"/>
        <v>5465.5555275857396</v>
      </c>
      <c r="AJ15" s="5">
        <f t="shared" si="2"/>
        <v>5684.1777486891697</v>
      </c>
      <c r="AK15" s="5">
        <f t="shared" si="2"/>
        <v>5911.5448586367365</v>
      </c>
      <c r="AL15" s="5">
        <f t="shared" si="2"/>
        <v>6148.0066529822061</v>
      </c>
    </row>
    <row r="16" spans="2:38">
      <c r="B16" s="87" t="s">
        <v>177</v>
      </c>
      <c r="C16" s="5"/>
      <c r="D16" s="5">
        <f t="shared" ref="D16:AL16" si="3">D15*$G$9</f>
        <v>1495.8963560480954</v>
      </c>
      <c r="E16" s="5">
        <f t="shared" si="3"/>
        <v>1555.7322102900193</v>
      </c>
      <c r="F16" s="5">
        <f t="shared" si="3"/>
        <v>1617.96149870162</v>
      </c>
      <c r="G16" s="5">
        <f t="shared" si="3"/>
        <v>1682.679958649685</v>
      </c>
      <c r="H16" s="5">
        <f t="shared" si="3"/>
        <v>1749.9871569956724</v>
      </c>
      <c r="I16" s="5">
        <f t="shared" si="3"/>
        <v>1819.9866432754993</v>
      </c>
      <c r="J16" s="5">
        <f t="shared" si="3"/>
        <v>1892.7861090065192</v>
      </c>
      <c r="K16" s="5">
        <f t="shared" si="3"/>
        <v>1968.4975533667798</v>
      </c>
      <c r="L16" s="5">
        <f t="shared" si="3"/>
        <v>2047.237455501451</v>
      </c>
      <c r="M16" s="5">
        <f t="shared" si="3"/>
        <v>2129.1269537215094</v>
      </c>
      <c r="N16" s="5">
        <f t="shared" si="3"/>
        <v>2214.2920318703696</v>
      </c>
      <c r="O16" s="5">
        <f t="shared" si="3"/>
        <v>2302.8637131451846</v>
      </c>
      <c r="P16" s="5">
        <f t="shared" si="3"/>
        <v>2394.9782616709922</v>
      </c>
      <c r="Q16" s="5">
        <f t="shared" si="3"/>
        <v>2490.7773921378316</v>
      </c>
      <c r="R16" s="5">
        <f t="shared" si="3"/>
        <v>2590.4084878233452</v>
      </c>
      <c r="S16" s="5">
        <f t="shared" si="3"/>
        <v>2694.024827336279</v>
      </c>
      <c r="T16" s="5">
        <f t="shared" si="3"/>
        <v>2801.7858204297304</v>
      </c>
      <c r="U16" s="5">
        <f t="shared" si="3"/>
        <v>2913.8572532469198</v>
      </c>
      <c r="V16" s="5">
        <f t="shared" si="3"/>
        <v>3030.4115433767965</v>
      </c>
      <c r="W16" s="5">
        <f t="shared" si="3"/>
        <v>3151.6280051118688</v>
      </c>
      <c r="X16" s="5">
        <f t="shared" si="3"/>
        <v>3277.6931253163434</v>
      </c>
      <c r="Y16" s="5">
        <f t="shared" si="3"/>
        <v>3408.8008503289975</v>
      </c>
      <c r="Z16" s="5">
        <f t="shared" si="3"/>
        <v>3545.1528843421574</v>
      </c>
      <c r="AA16" s="5">
        <f t="shared" si="3"/>
        <v>3686.9589997158437</v>
      </c>
      <c r="AB16" s="5">
        <f t="shared" si="3"/>
        <v>3834.4373597044778</v>
      </c>
      <c r="AC16" s="5">
        <f t="shared" si="3"/>
        <v>3987.8148540926568</v>
      </c>
      <c r="AD16" s="5">
        <f t="shared" si="3"/>
        <v>4147.3274482563629</v>
      </c>
      <c r="AE16" s="5">
        <f t="shared" si="3"/>
        <v>4313.220546186617</v>
      </c>
      <c r="AF16" s="5">
        <f t="shared" si="3"/>
        <v>4485.7493680340822</v>
      </c>
      <c r="AG16" s="5">
        <f t="shared" si="3"/>
        <v>4665.1793427554458</v>
      </c>
      <c r="AH16" s="5">
        <f t="shared" si="3"/>
        <v>4851.7865164656641</v>
      </c>
      <c r="AI16" s="5">
        <f t="shared" si="3"/>
        <v>5045.8579771242912</v>
      </c>
      <c r="AJ16" s="5">
        <f t="shared" si="3"/>
        <v>5247.692296209264</v>
      </c>
      <c r="AK16" s="5">
        <f t="shared" si="3"/>
        <v>5457.5999880576346</v>
      </c>
      <c r="AL16" s="5">
        <f t="shared" si="3"/>
        <v>5675.9039875799399</v>
      </c>
    </row>
    <row r="17" spans="2:38">
      <c r="B17" s="87" t="s">
        <v>178</v>
      </c>
      <c r="C17" s="5"/>
      <c r="D17" s="5">
        <v>-52</v>
      </c>
      <c r="E17" s="5">
        <f t="shared" ref="E17:AL17" si="4">D17*(1+$G$8)</f>
        <v>-54.08</v>
      </c>
      <c r="F17" s="5">
        <f t="shared" si="4"/>
        <v>-56.243200000000002</v>
      </c>
      <c r="G17" s="5">
        <f t="shared" si="4"/>
        <v>-58.492928000000006</v>
      </c>
      <c r="H17" s="5">
        <f t="shared" si="4"/>
        <v>-60.832645120000009</v>
      </c>
      <c r="I17" s="5">
        <f t="shared" si="4"/>
        <v>-63.265950924800009</v>
      </c>
      <c r="J17" s="5">
        <f t="shared" si="4"/>
        <v>-65.796588961792011</v>
      </c>
      <c r="K17" s="5">
        <f t="shared" si="4"/>
        <v>-68.42845252026369</v>
      </c>
      <c r="L17" s="5">
        <f t="shared" si="4"/>
        <v>-71.165590621074244</v>
      </c>
      <c r="M17" s="5">
        <f t="shared" si="4"/>
        <v>-74.012214245917221</v>
      </c>
      <c r="N17" s="5">
        <f t="shared" si="4"/>
        <v>-76.972702815753919</v>
      </c>
      <c r="O17" s="5">
        <f t="shared" si="4"/>
        <v>-80.051610928384079</v>
      </c>
      <c r="P17" s="5">
        <f t="shared" si="4"/>
        <v>-83.253675365519442</v>
      </c>
      <c r="Q17" s="5">
        <f t="shared" si="4"/>
        <v>-86.583822380140219</v>
      </c>
      <c r="R17" s="5">
        <f t="shared" si="4"/>
        <v>-90.047175275345836</v>
      </c>
      <c r="S17" s="5">
        <f t="shared" si="4"/>
        <v>-93.64906228635968</v>
      </c>
      <c r="T17" s="5">
        <f t="shared" si="4"/>
        <v>-97.395024777814072</v>
      </c>
      <c r="U17" s="5">
        <f t="shared" si="4"/>
        <v>-101.29082576892664</v>
      </c>
      <c r="V17" s="5">
        <f t="shared" si="4"/>
        <v>-105.34245879968371</v>
      </c>
      <c r="W17" s="5">
        <f t="shared" si="4"/>
        <v>-109.55615715167106</v>
      </c>
      <c r="X17" s="5">
        <f t="shared" si="4"/>
        <v>-113.9384034377379</v>
      </c>
      <c r="Y17" s="5">
        <f t="shared" si="4"/>
        <v>-118.49593957524742</v>
      </c>
      <c r="Z17" s="5">
        <f t="shared" si="4"/>
        <v>-123.23577715825732</v>
      </c>
      <c r="AA17" s="5">
        <f t="shared" si="4"/>
        <v>-128.16520824458763</v>
      </c>
      <c r="AB17" s="5">
        <f t="shared" si="4"/>
        <v>-133.29181657437115</v>
      </c>
      <c r="AC17" s="5">
        <f t="shared" si="4"/>
        <v>-138.62348923734601</v>
      </c>
      <c r="AD17" s="5">
        <f t="shared" si="4"/>
        <v>-144.16842880683984</v>
      </c>
      <c r="AE17" s="5">
        <f t="shared" si="4"/>
        <v>-149.93516595911345</v>
      </c>
      <c r="AF17" s="5">
        <f t="shared" si="4"/>
        <v>-155.93257259747799</v>
      </c>
      <c r="AG17" s="5">
        <f t="shared" si="4"/>
        <v>-162.16987550137711</v>
      </c>
      <c r="AH17" s="5">
        <f t="shared" si="4"/>
        <v>-168.6566705214322</v>
      </c>
      <c r="AI17" s="5">
        <f t="shared" si="4"/>
        <v>-175.4029373422895</v>
      </c>
      <c r="AJ17" s="5">
        <f t="shared" si="4"/>
        <v>-182.41905483598109</v>
      </c>
      <c r="AK17" s="5">
        <f t="shared" si="4"/>
        <v>-189.71581702942035</v>
      </c>
      <c r="AL17" s="5">
        <f t="shared" si="4"/>
        <v>-197.30444971059717</v>
      </c>
    </row>
    <row r="18" spans="2:38">
      <c r="B18" s="8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2:38">
      <c r="B19" s="87" t="s">
        <v>179</v>
      </c>
      <c r="C19" s="5"/>
      <c r="D19" s="5">
        <f>C23</f>
        <v>20666.603305493209</v>
      </c>
      <c r="E19" s="5">
        <f>D23</f>
        <v>20594.179661541304</v>
      </c>
      <c r="F19" s="5">
        <f t="shared" ref="F19:AL19" si="5">E23</f>
        <v>20518.859071831321</v>
      </c>
      <c r="G19" s="5">
        <f t="shared" si="5"/>
        <v>20440.525658532941</v>
      </c>
      <c r="H19" s="5">
        <f t="shared" si="5"/>
        <v>20359.058908702624</v>
      </c>
      <c r="I19" s="5">
        <f t="shared" si="5"/>
        <v>20274.333488879096</v>
      </c>
      <c r="J19" s="5">
        <f t="shared" si="5"/>
        <v>20363.672568896935</v>
      </c>
      <c r="K19" s="5">
        <f t="shared" si="5"/>
        <v>20551.653428031437</v>
      </c>
      <c r="L19" s="5">
        <f t="shared" si="5"/>
        <v>20797.278805021029</v>
      </c>
      <c r="M19" s="5">
        <f t="shared" si="5"/>
        <v>21098.844457900741</v>
      </c>
      <c r="N19" s="5">
        <f t="shared" si="5"/>
        <v>21454.898776841328</v>
      </c>
      <c r="O19" s="5">
        <f t="shared" si="5"/>
        <v>21864.227225289575</v>
      </c>
      <c r="P19" s="5">
        <f t="shared" si="5"/>
        <v>22325.838211885784</v>
      </c>
      <c r="Q19" s="5">
        <f t="shared" si="5"/>
        <v>22838.950286139076</v>
      </c>
      <c r="R19" s="5">
        <f t="shared" si="5"/>
        <v>23402.980559700267</v>
      </c>
      <c r="S19" s="5">
        <f t="shared" si="5"/>
        <v>24017.534263234655</v>
      </c>
      <c r="T19" s="5">
        <f t="shared" si="5"/>
        <v>24682.39535641871</v>
      </c>
      <c r="U19" s="5">
        <f t="shared" si="5"/>
        <v>25397.518115517756</v>
      </c>
      <c r="V19" s="5">
        <f t="shared" si="5"/>
        <v>26163.019629393377</v>
      </c>
      <c r="W19" s="5">
        <f t="shared" si="5"/>
        <v>26979.17314068363</v>
      </c>
      <c r="X19" s="5">
        <f t="shared" si="5"/>
        <v>27846.402174336334</v>
      </c>
      <c r="Y19" s="5">
        <f t="shared" si="5"/>
        <v>28765.275400693114</v>
      </c>
      <c r="Z19" s="5">
        <f t="shared" si="5"/>
        <v>29736.502184953501</v>
      </c>
      <c r="AA19" s="5">
        <f t="shared" si="5"/>
        <v>30760.928779125694</v>
      </c>
      <c r="AB19" s="5">
        <f t="shared" si="5"/>
        <v>31839.535116522853</v>
      </c>
      <c r="AC19" s="5">
        <f t="shared" si="5"/>
        <v>32973.432172517321</v>
      </c>
      <c r="AD19" s="5">
        <f t="shared" si="5"/>
        <v>34163.859858644886</v>
      </c>
      <c r="AE19" s="5">
        <f t="shared" si="5"/>
        <v>35412.185420279406</v>
      </c>
      <c r="AF19" s="5">
        <f t="shared" si="5"/>
        <v>36719.902310996207</v>
      </c>
      <c r="AG19" s="5">
        <f t="shared" si="5"/>
        <v>38088.629519429232</v>
      </c>
      <c r="AH19" s="5">
        <f t="shared" si="5"/>
        <v>39520.111326920116</v>
      </c>
      <c r="AI19" s="5">
        <f t="shared" si="5"/>
        <v>41016.21747657354</v>
      </c>
      <c r="AJ19" s="5">
        <f t="shared" si="5"/>
        <v>42578.943736486981</v>
      </c>
      <c r="AK19" s="5">
        <f t="shared" si="5"/>
        <v>44210.412841928919</v>
      </c>
      <c r="AL19" s="5">
        <f t="shared" si="5"/>
        <v>45912.875803109935</v>
      </c>
    </row>
    <row r="20" spans="2:38">
      <c r="B20" s="87" t="s">
        <v>177</v>
      </c>
      <c r="C20" s="5"/>
      <c r="D20" s="22">
        <f>D16</f>
        <v>1495.8963560480954</v>
      </c>
      <c r="E20" s="22">
        <f t="shared" ref="E20:AL20" si="6">E16</f>
        <v>1555.7322102900193</v>
      </c>
      <c r="F20" s="22">
        <f t="shared" si="6"/>
        <v>1617.96149870162</v>
      </c>
      <c r="G20" s="22">
        <f t="shared" si="6"/>
        <v>1682.679958649685</v>
      </c>
      <c r="H20" s="22">
        <f t="shared" si="6"/>
        <v>1749.9871569956724</v>
      </c>
      <c r="I20" s="22">
        <f t="shared" si="6"/>
        <v>1819.9866432754993</v>
      </c>
      <c r="J20" s="22">
        <f t="shared" si="6"/>
        <v>1892.7861090065192</v>
      </c>
      <c r="K20" s="22">
        <f t="shared" si="6"/>
        <v>1968.4975533667798</v>
      </c>
      <c r="L20" s="22">
        <f t="shared" si="6"/>
        <v>2047.237455501451</v>
      </c>
      <c r="M20" s="22">
        <f t="shared" si="6"/>
        <v>2129.1269537215094</v>
      </c>
      <c r="N20" s="22">
        <f t="shared" si="6"/>
        <v>2214.2920318703696</v>
      </c>
      <c r="O20" s="22">
        <f t="shared" si="6"/>
        <v>2302.8637131451846</v>
      </c>
      <c r="P20" s="22">
        <f t="shared" si="6"/>
        <v>2394.9782616709922</v>
      </c>
      <c r="Q20" s="22">
        <f t="shared" si="6"/>
        <v>2490.7773921378316</v>
      </c>
      <c r="R20" s="22">
        <f t="shared" si="6"/>
        <v>2590.4084878233452</v>
      </c>
      <c r="S20" s="22">
        <f t="shared" si="6"/>
        <v>2694.024827336279</v>
      </c>
      <c r="T20" s="22">
        <f t="shared" si="6"/>
        <v>2801.7858204297304</v>
      </c>
      <c r="U20" s="22">
        <f t="shared" si="6"/>
        <v>2913.8572532469198</v>
      </c>
      <c r="V20" s="22">
        <f t="shared" si="6"/>
        <v>3030.4115433767965</v>
      </c>
      <c r="W20" s="22">
        <f t="shared" si="6"/>
        <v>3151.6280051118688</v>
      </c>
      <c r="X20" s="22">
        <f t="shared" si="6"/>
        <v>3277.6931253163434</v>
      </c>
      <c r="Y20" s="22">
        <f t="shared" si="6"/>
        <v>3408.8008503289975</v>
      </c>
      <c r="Z20" s="22">
        <f t="shared" si="6"/>
        <v>3545.1528843421574</v>
      </c>
      <c r="AA20" s="22">
        <f t="shared" si="6"/>
        <v>3686.9589997158437</v>
      </c>
      <c r="AB20" s="22">
        <f t="shared" si="6"/>
        <v>3834.4373597044778</v>
      </c>
      <c r="AC20" s="22">
        <f t="shared" si="6"/>
        <v>3987.8148540926568</v>
      </c>
      <c r="AD20" s="22">
        <f t="shared" si="6"/>
        <v>4147.3274482563629</v>
      </c>
      <c r="AE20" s="22">
        <f t="shared" si="6"/>
        <v>4313.220546186617</v>
      </c>
      <c r="AF20" s="22">
        <f t="shared" si="6"/>
        <v>4485.7493680340822</v>
      </c>
      <c r="AG20" s="22">
        <f t="shared" si="6"/>
        <v>4665.1793427554458</v>
      </c>
      <c r="AH20" s="22">
        <f t="shared" si="6"/>
        <v>4851.7865164656641</v>
      </c>
      <c r="AI20" s="22">
        <f t="shared" si="6"/>
        <v>5045.8579771242912</v>
      </c>
      <c r="AJ20" s="22">
        <f t="shared" si="6"/>
        <v>5247.692296209264</v>
      </c>
      <c r="AK20" s="22">
        <f t="shared" si="6"/>
        <v>5457.5999880576346</v>
      </c>
      <c r="AL20" s="22">
        <f t="shared" si="6"/>
        <v>5675.9039875799399</v>
      </c>
    </row>
    <row r="21" spans="2:38">
      <c r="B21" s="87" t="s">
        <v>180</v>
      </c>
      <c r="C21" s="5"/>
      <c r="D21" s="22">
        <f>D20/2</f>
        <v>747.94817802404771</v>
      </c>
      <c r="E21" s="22">
        <f t="shared" ref="E21:AL21" si="7">E20/2</f>
        <v>777.86610514500967</v>
      </c>
      <c r="F21" s="22">
        <f t="shared" si="7"/>
        <v>808.98074935081002</v>
      </c>
      <c r="G21" s="22">
        <f t="shared" si="7"/>
        <v>841.33997932484249</v>
      </c>
      <c r="H21" s="22">
        <f t="shared" si="7"/>
        <v>874.99357849783621</v>
      </c>
      <c r="I21" s="22">
        <f t="shared" si="7"/>
        <v>909.99332163774966</v>
      </c>
      <c r="J21" s="22">
        <f t="shared" si="7"/>
        <v>946.39305450325958</v>
      </c>
      <c r="K21" s="22">
        <f t="shared" si="7"/>
        <v>984.24877668338991</v>
      </c>
      <c r="L21" s="22">
        <f t="shared" si="7"/>
        <v>1023.6187277507255</v>
      </c>
      <c r="M21" s="22">
        <f t="shared" si="7"/>
        <v>1064.5634768607547</v>
      </c>
      <c r="N21" s="22">
        <f t="shared" si="7"/>
        <v>1107.1460159351848</v>
      </c>
      <c r="O21" s="22">
        <f t="shared" si="7"/>
        <v>1151.4318565725923</v>
      </c>
      <c r="P21" s="22">
        <f t="shared" si="7"/>
        <v>1197.4891308354961</v>
      </c>
      <c r="Q21" s="22">
        <f t="shared" si="7"/>
        <v>1245.3886960689158</v>
      </c>
      <c r="R21" s="22">
        <f t="shared" si="7"/>
        <v>1295.2042439116726</v>
      </c>
      <c r="S21" s="22">
        <f t="shared" si="7"/>
        <v>1347.0124136681395</v>
      </c>
      <c r="T21" s="22">
        <f t="shared" si="7"/>
        <v>1400.8929102148652</v>
      </c>
      <c r="U21" s="22">
        <f t="shared" si="7"/>
        <v>1456.9286266234599</v>
      </c>
      <c r="V21" s="22">
        <f t="shared" si="7"/>
        <v>1515.2057716883983</v>
      </c>
      <c r="W21" s="22">
        <f t="shared" si="7"/>
        <v>1575.8140025559344</v>
      </c>
      <c r="X21" s="22">
        <f t="shared" si="7"/>
        <v>1638.8465626581717</v>
      </c>
      <c r="Y21" s="22">
        <f t="shared" si="7"/>
        <v>1704.4004251644988</v>
      </c>
      <c r="Z21" s="22">
        <f t="shared" si="7"/>
        <v>1772.5764421710787</v>
      </c>
      <c r="AA21" s="22">
        <f t="shared" si="7"/>
        <v>1843.4794998579218</v>
      </c>
      <c r="AB21" s="22">
        <f t="shared" si="7"/>
        <v>1917.2186798522389</v>
      </c>
      <c r="AC21" s="22">
        <f t="shared" si="7"/>
        <v>1993.9074270463284</v>
      </c>
      <c r="AD21" s="22">
        <f t="shared" si="7"/>
        <v>2073.6637241281815</v>
      </c>
      <c r="AE21" s="22">
        <f t="shared" si="7"/>
        <v>2156.6102730933085</v>
      </c>
      <c r="AF21" s="22">
        <f t="shared" si="7"/>
        <v>2242.8746840170411</v>
      </c>
      <c r="AG21" s="22">
        <f t="shared" si="7"/>
        <v>2332.5896713777229</v>
      </c>
      <c r="AH21" s="22">
        <f t="shared" si="7"/>
        <v>2425.8932582328321</v>
      </c>
      <c r="AI21" s="22">
        <f t="shared" si="7"/>
        <v>2522.9289885621456</v>
      </c>
      <c r="AJ21" s="22">
        <f t="shared" si="7"/>
        <v>2623.846148104632</v>
      </c>
      <c r="AK21" s="22">
        <f t="shared" si="7"/>
        <v>2728.7999940288173</v>
      </c>
      <c r="AL21" s="22">
        <f t="shared" si="7"/>
        <v>2837.9519937899699</v>
      </c>
    </row>
    <row r="22" spans="2:38">
      <c r="B22" s="87" t="s">
        <v>181</v>
      </c>
      <c r="C22" s="5"/>
      <c r="D22" s="24">
        <f>D52</f>
        <v>-1568.3200000000002</v>
      </c>
      <c r="E22" s="24">
        <f t="shared" ref="E22:AL22" si="8">E52</f>
        <v>-1631.0528000000004</v>
      </c>
      <c r="F22" s="24">
        <f t="shared" si="8"/>
        <v>-1696.2949120000003</v>
      </c>
      <c r="G22" s="24">
        <f t="shared" si="8"/>
        <v>-1764.1467084800006</v>
      </c>
      <c r="H22" s="24">
        <f t="shared" si="8"/>
        <v>-1834.7125768192004</v>
      </c>
      <c r="I22" s="24">
        <f t="shared" si="8"/>
        <v>-1730.6475632576617</v>
      </c>
      <c r="J22" s="24">
        <f t="shared" si="8"/>
        <v>-1704.8052498720156</v>
      </c>
      <c r="K22" s="24">
        <f t="shared" si="8"/>
        <v>-1722.8721763771864</v>
      </c>
      <c r="L22" s="24">
        <f t="shared" si="8"/>
        <v>-1745.6718026217404</v>
      </c>
      <c r="M22" s="24">
        <f t="shared" si="8"/>
        <v>-1773.0726347809198</v>
      </c>
      <c r="N22" s="24">
        <f t="shared" si="8"/>
        <v>-1804.963583422121</v>
      </c>
      <c r="O22" s="24">
        <f t="shared" si="8"/>
        <v>-1841.2527265489734</v>
      </c>
      <c r="P22" s="24">
        <f t="shared" si="8"/>
        <v>-1881.8661874177026</v>
      </c>
      <c r="Q22" s="24">
        <f t="shared" si="8"/>
        <v>-1926.7471185766394</v>
      </c>
      <c r="R22" s="24">
        <f t="shared" si="8"/>
        <v>-1975.8547842889552</v>
      </c>
      <c r="S22" s="24">
        <f t="shared" si="8"/>
        <v>-2029.1637341522237</v>
      </c>
      <c r="T22" s="24">
        <f t="shared" si="8"/>
        <v>-2086.6630613306861</v>
      </c>
      <c r="U22" s="24">
        <f t="shared" si="8"/>
        <v>-2148.3557393712972</v>
      </c>
      <c r="V22" s="24">
        <f t="shared" si="8"/>
        <v>-2214.2580320865418</v>
      </c>
      <c r="W22" s="24">
        <f t="shared" si="8"/>
        <v>-2284.3989714591653</v>
      </c>
      <c r="X22" s="24">
        <f t="shared" si="8"/>
        <v>-2358.8198989595603</v>
      </c>
      <c r="Y22" s="24">
        <f t="shared" si="8"/>
        <v>-2437.5740660686092</v>
      </c>
      <c r="Z22" s="24">
        <f t="shared" si="8"/>
        <v>-2520.7262901699664</v>
      </c>
      <c r="AA22" s="24">
        <f t="shared" si="8"/>
        <v>-2608.3526623186895</v>
      </c>
      <c r="AB22" s="24">
        <f t="shared" si="8"/>
        <v>-2700.5403037100077</v>
      </c>
      <c r="AC22" s="24">
        <f t="shared" si="8"/>
        <v>-2797.3871679650924</v>
      </c>
      <c r="AD22" s="24">
        <f t="shared" si="8"/>
        <v>-2899.0018866218452</v>
      </c>
      <c r="AE22" s="24">
        <f t="shared" si="8"/>
        <v>-3005.5036554698167</v>
      </c>
      <c r="AF22" s="24">
        <f t="shared" si="8"/>
        <v>-3117.0221596010601</v>
      </c>
      <c r="AG22" s="24">
        <f t="shared" si="8"/>
        <v>-3233.6975352645568</v>
      </c>
      <c r="AH22" s="24">
        <f t="shared" si="8"/>
        <v>-3355.6803668122361</v>
      </c>
      <c r="AI22" s="24">
        <f t="shared" si="8"/>
        <v>-3483.1317172108552</v>
      </c>
      <c r="AJ22" s="24">
        <f t="shared" si="8"/>
        <v>-3616.223190767329</v>
      </c>
      <c r="AK22" s="24">
        <f t="shared" si="8"/>
        <v>-3755.1370268766186</v>
      </c>
      <c r="AL22" s="24">
        <f t="shared" si="8"/>
        <v>-3900.0662237519923</v>
      </c>
    </row>
    <row r="23" spans="2:38">
      <c r="B23" s="317" t="s">
        <v>182</v>
      </c>
      <c r="C23" s="318">
        <f>C9</f>
        <v>20666.603305493209</v>
      </c>
      <c r="D23" s="5">
        <f>D19+D20+D22</f>
        <v>20594.179661541304</v>
      </c>
      <c r="E23" s="5">
        <f t="shared" ref="E23:AL23" si="9">E19+E20+E22</f>
        <v>20518.859071831321</v>
      </c>
      <c r="F23" s="5">
        <f t="shared" si="9"/>
        <v>20440.525658532941</v>
      </c>
      <c r="G23" s="5">
        <f t="shared" si="9"/>
        <v>20359.058908702624</v>
      </c>
      <c r="H23" s="5">
        <f t="shared" si="9"/>
        <v>20274.333488879096</v>
      </c>
      <c r="I23" s="5">
        <f t="shared" si="9"/>
        <v>20363.672568896935</v>
      </c>
      <c r="J23" s="5">
        <f t="shared" si="9"/>
        <v>20551.653428031437</v>
      </c>
      <c r="K23" s="5">
        <f t="shared" si="9"/>
        <v>20797.278805021029</v>
      </c>
      <c r="L23" s="5">
        <f t="shared" si="9"/>
        <v>21098.844457900741</v>
      </c>
      <c r="M23" s="5">
        <f t="shared" si="9"/>
        <v>21454.898776841328</v>
      </c>
      <c r="N23" s="5">
        <f t="shared" si="9"/>
        <v>21864.227225289575</v>
      </c>
      <c r="O23" s="5">
        <f t="shared" si="9"/>
        <v>22325.838211885784</v>
      </c>
      <c r="P23" s="5">
        <f t="shared" si="9"/>
        <v>22838.950286139076</v>
      </c>
      <c r="Q23" s="5">
        <f t="shared" si="9"/>
        <v>23402.980559700267</v>
      </c>
      <c r="R23" s="5">
        <f t="shared" si="9"/>
        <v>24017.534263234655</v>
      </c>
      <c r="S23" s="5">
        <f t="shared" si="9"/>
        <v>24682.39535641871</v>
      </c>
      <c r="T23" s="5">
        <f t="shared" si="9"/>
        <v>25397.518115517756</v>
      </c>
      <c r="U23" s="5">
        <f t="shared" si="9"/>
        <v>26163.019629393377</v>
      </c>
      <c r="V23" s="5">
        <f t="shared" si="9"/>
        <v>26979.17314068363</v>
      </c>
      <c r="W23" s="5">
        <f t="shared" si="9"/>
        <v>27846.402174336334</v>
      </c>
      <c r="X23" s="5">
        <f t="shared" si="9"/>
        <v>28765.275400693114</v>
      </c>
      <c r="Y23" s="5">
        <f t="shared" si="9"/>
        <v>29736.502184953501</v>
      </c>
      <c r="Z23" s="5">
        <f t="shared" si="9"/>
        <v>30760.928779125694</v>
      </c>
      <c r="AA23" s="5">
        <f t="shared" si="9"/>
        <v>31839.535116522853</v>
      </c>
      <c r="AB23" s="5">
        <f t="shared" si="9"/>
        <v>32973.432172517321</v>
      </c>
      <c r="AC23" s="5">
        <f t="shared" si="9"/>
        <v>34163.859858644886</v>
      </c>
      <c r="AD23" s="5">
        <f t="shared" si="9"/>
        <v>35412.185420279406</v>
      </c>
      <c r="AE23" s="5">
        <f t="shared" si="9"/>
        <v>36719.902310996207</v>
      </c>
      <c r="AF23" s="5">
        <f t="shared" si="9"/>
        <v>38088.629519429232</v>
      </c>
      <c r="AG23" s="5">
        <f t="shared" si="9"/>
        <v>39520.111326920116</v>
      </c>
      <c r="AH23" s="5">
        <f t="shared" si="9"/>
        <v>41016.21747657354</v>
      </c>
      <c r="AI23" s="5">
        <f t="shared" si="9"/>
        <v>42578.943736486981</v>
      </c>
      <c r="AJ23" s="5">
        <f t="shared" si="9"/>
        <v>44210.412841928919</v>
      </c>
      <c r="AK23" s="5">
        <f t="shared" si="9"/>
        <v>45912.875803109935</v>
      </c>
      <c r="AL23" s="5">
        <f t="shared" si="9"/>
        <v>47688.713566937884</v>
      </c>
    </row>
    <row r="24" spans="2:38">
      <c r="B24" s="8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2:38">
      <c r="B25" s="90" t="s">
        <v>183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2:38">
      <c r="B26" s="87" t="s">
        <v>184</v>
      </c>
      <c r="C26" s="5"/>
      <c r="D26" s="5">
        <f>(D19+D21)*$G$4</f>
        <v>1713.1641186813806</v>
      </c>
      <c r="E26" s="5">
        <f t="shared" ref="E26:AL26" si="10">(E19+E21)*$G$4</f>
        <v>1709.7636613349052</v>
      </c>
      <c r="F26" s="5">
        <f t="shared" si="10"/>
        <v>1706.2271856945704</v>
      </c>
      <c r="G26" s="5">
        <f t="shared" si="10"/>
        <v>1702.5492510286226</v>
      </c>
      <c r="H26" s="5">
        <f t="shared" si="10"/>
        <v>1698.7241989760369</v>
      </c>
      <c r="I26" s="5">
        <f t="shared" si="10"/>
        <v>1694.7461448413478</v>
      </c>
      <c r="J26" s="5">
        <f t="shared" si="10"/>
        <v>1704.8052498720156</v>
      </c>
      <c r="K26" s="5">
        <f t="shared" si="10"/>
        <v>1722.8721763771864</v>
      </c>
      <c r="L26" s="5">
        <f t="shared" si="10"/>
        <v>1745.6718026217404</v>
      </c>
      <c r="M26" s="5">
        <f t="shared" si="10"/>
        <v>1773.0726347809198</v>
      </c>
      <c r="N26" s="5">
        <f t="shared" si="10"/>
        <v>1804.963583422121</v>
      </c>
      <c r="O26" s="5">
        <f t="shared" si="10"/>
        <v>1841.2527265489734</v>
      </c>
      <c r="P26" s="5">
        <f t="shared" si="10"/>
        <v>1881.8661874177026</v>
      </c>
      <c r="Q26" s="5">
        <f t="shared" si="10"/>
        <v>1926.7471185766394</v>
      </c>
      <c r="R26" s="5">
        <f t="shared" si="10"/>
        <v>1975.8547842889552</v>
      </c>
      <c r="S26" s="5">
        <f t="shared" si="10"/>
        <v>2029.1637341522237</v>
      </c>
      <c r="T26" s="5">
        <f t="shared" si="10"/>
        <v>2086.6630613306861</v>
      </c>
      <c r="U26" s="5">
        <f t="shared" si="10"/>
        <v>2148.3557393712972</v>
      </c>
      <c r="V26" s="5">
        <f t="shared" si="10"/>
        <v>2214.2580320865418</v>
      </c>
      <c r="W26" s="5">
        <f t="shared" si="10"/>
        <v>2284.3989714591653</v>
      </c>
      <c r="X26" s="5">
        <f t="shared" si="10"/>
        <v>2358.8198989595603</v>
      </c>
      <c r="Y26" s="5">
        <f t="shared" si="10"/>
        <v>2437.5740660686092</v>
      </c>
      <c r="Z26" s="5">
        <f t="shared" si="10"/>
        <v>2520.7262901699664</v>
      </c>
      <c r="AA26" s="5">
        <f t="shared" si="10"/>
        <v>2608.3526623186895</v>
      </c>
      <c r="AB26" s="5">
        <f t="shared" si="10"/>
        <v>2700.5403037100077</v>
      </c>
      <c r="AC26" s="5">
        <f t="shared" si="10"/>
        <v>2797.3871679650924</v>
      </c>
      <c r="AD26" s="5">
        <f t="shared" si="10"/>
        <v>2899.0018866218452</v>
      </c>
      <c r="AE26" s="5">
        <f t="shared" si="10"/>
        <v>3005.5036554698167</v>
      </c>
      <c r="AF26" s="5">
        <f t="shared" si="10"/>
        <v>3117.0221596010601</v>
      </c>
      <c r="AG26" s="5">
        <f t="shared" si="10"/>
        <v>3233.6975352645568</v>
      </c>
      <c r="AH26" s="5">
        <f t="shared" si="10"/>
        <v>3355.6803668122361</v>
      </c>
      <c r="AI26" s="5">
        <f t="shared" si="10"/>
        <v>3483.1317172108552</v>
      </c>
      <c r="AJ26" s="5">
        <f t="shared" si="10"/>
        <v>3616.223190767329</v>
      </c>
      <c r="AK26" s="5">
        <f t="shared" si="10"/>
        <v>3755.1370268766186</v>
      </c>
      <c r="AL26" s="5">
        <f t="shared" si="10"/>
        <v>3900.0662237519923</v>
      </c>
    </row>
    <row r="27" spans="2:38">
      <c r="B27" s="87" t="s">
        <v>185</v>
      </c>
      <c r="C27" s="5"/>
      <c r="D27" s="5">
        <f>-D22</f>
        <v>1568.3200000000002</v>
      </c>
      <c r="E27" s="5">
        <f t="shared" ref="E27:AL27" si="11">-E22</f>
        <v>1631.0528000000004</v>
      </c>
      <c r="F27" s="5">
        <f t="shared" si="11"/>
        <v>1696.2949120000003</v>
      </c>
      <c r="G27" s="5">
        <f t="shared" si="11"/>
        <v>1764.1467084800006</v>
      </c>
      <c r="H27" s="5">
        <f t="shared" si="11"/>
        <v>1834.7125768192004</v>
      </c>
      <c r="I27" s="5">
        <f t="shared" si="11"/>
        <v>1730.6475632576617</v>
      </c>
      <c r="J27" s="5">
        <f t="shared" si="11"/>
        <v>1704.8052498720156</v>
      </c>
      <c r="K27" s="5">
        <f t="shared" si="11"/>
        <v>1722.8721763771864</v>
      </c>
      <c r="L27" s="5">
        <f t="shared" si="11"/>
        <v>1745.6718026217404</v>
      </c>
      <c r="M27" s="5">
        <f t="shared" si="11"/>
        <v>1773.0726347809198</v>
      </c>
      <c r="N27" s="5">
        <f t="shared" si="11"/>
        <v>1804.963583422121</v>
      </c>
      <c r="O27" s="5">
        <f t="shared" si="11"/>
        <v>1841.2527265489734</v>
      </c>
      <c r="P27" s="5">
        <f t="shared" si="11"/>
        <v>1881.8661874177026</v>
      </c>
      <c r="Q27" s="5">
        <f t="shared" si="11"/>
        <v>1926.7471185766394</v>
      </c>
      <c r="R27" s="5">
        <f t="shared" si="11"/>
        <v>1975.8547842889552</v>
      </c>
      <c r="S27" s="5">
        <f t="shared" si="11"/>
        <v>2029.1637341522237</v>
      </c>
      <c r="T27" s="5">
        <f t="shared" si="11"/>
        <v>2086.6630613306861</v>
      </c>
      <c r="U27" s="5">
        <f t="shared" si="11"/>
        <v>2148.3557393712972</v>
      </c>
      <c r="V27" s="5">
        <f t="shared" si="11"/>
        <v>2214.2580320865418</v>
      </c>
      <c r="W27" s="5">
        <f t="shared" si="11"/>
        <v>2284.3989714591653</v>
      </c>
      <c r="X27" s="5">
        <f t="shared" si="11"/>
        <v>2358.8198989595603</v>
      </c>
      <c r="Y27" s="5">
        <f t="shared" si="11"/>
        <v>2437.5740660686092</v>
      </c>
      <c r="Z27" s="5">
        <f t="shared" si="11"/>
        <v>2520.7262901699664</v>
      </c>
      <c r="AA27" s="5">
        <f t="shared" si="11"/>
        <v>2608.3526623186895</v>
      </c>
      <c r="AB27" s="5">
        <f t="shared" si="11"/>
        <v>2700.5403037100077</v>
      </c>
      <c r="AC27" s="5">
        <f t="shared" si="11"/>
        <v>2797.3871679650924</v>
      </c>
      <c r="AD27" s="5">
        <f t="shared" si="11"/>
        <v>2899.0018866218452</v>
      </c>
      <c r="AE27" s="5">
        <f t="shared" si="11"/>
        <v>3005.5036554698167</v>
      </c>
      <c r="AF27" s="5">
        <f t="shared" si="11"/>
        <v>3117.0221596010601</v>
      </c>
      <c r="AG27" s="5">
        <f t="shared" si="11"/>
        <v>3233.6975352645568</v>
      </c>
      <c r="AH27" s="5">
        <f t="shared" si="11"/>
        <v>3355.6803668122361</v>
      </c>
      <c r="AI27" s="5">
        <f t="shared" si="11"/>
        <v>3483.1317172108552</v>
      </c>
      <c r="AJ27" s="5">
        <f t="shared" si="11"/>
        <v>3616.223190767329</v>
      </c>
      <c r="AK27" s="5">
        <f t="shared" si="11"/>
        <v>3755.1370268766186</v>
      </c>
      <c r="AL27" s="5">
        <f t="shared" si="11"/>
        <v>3900.0662237519923</v>
      </c>
    </row>
    <row r="28" spans="2:38">
      <c r="B28" s="87" t="s">
        <v>186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2:38">
      <c r="B29" s="87" t="s">
        <v>187</v>
      </c>
      <c r="C29" s="5">
        <v>0</v>
      </c>
      <c r="D29" s="5">
        <f>D26-D27</f>
        <v>144.84411868138045</v>
      </c>
      <c r="E29" s="5">
        <f t="shared" ref="E29:AL29" si="12">E26-E27</f>
        <v>78.710861334904848</v>
      </c>
      <c r="F29" s="5">
        <f t="shared" si="12"/>
        <v>9.9322736945700854</v>
      </c>
      <c r="G29" s="5">
        <f t="shared" si="12"/>
        <v>-61.597457451377977</v>
      </c>
      <c r="H29" s="5">
        <f t="shared" si="12"/>
        <v>-135.98837784316356</v>
      </c>
      <c r="I29" s="5">
        <f t="shared" si="12"/>
        <v>-35.901418416313845</v>
      </c>
      <c r="J29" s="5">
        <f t="shared" si="12"/>
        <v>0</v>
      </c>
      <c r="K29" s="5">
        <f t="shared" si="12"/>
        <v>0</v>
      </c>
      <c r="L29" s="5">
        <f t="shared" si="12"/>
        <v>0</v>
      </c>
      <c r="M29" s="5">
        <f t="shared" si="12"/>
        <v>0</v>
      </c>
      <c r="N29" s="5">
        <f t="shared" si="12"/>
        <v>0</v>
      </c>
      <c r="O29" s="5">
        <f t="shared" si="12"/>
        <v>0</v>
      </c>
      <c r="P29" s="5">
        <f t="shared" si="12"/>
        <v>0</v>
      </c>
      <c r="Q29" s="5">
        <f t="shared" si="12"/>
        <v>0</v>
      </c>
      <c r="R29" s="5">
        <f t="shared" si="12"/>
        <v>0</v>
      </c>
      <c r="S29" s="5">
        <f t="shared" si="12"/>
        <v>0</v>
      </c>
      <c r="T29" s="5">
        <f t="shared" si="12"/>
        <v>0</v>
      </c>
      <c r="U29" s="5">
        <f t="shared" si="12"/>
        <v>0</v>
      </c>
      <c r="V29" s="5">
        <f t="shared" si="12"/>
        <v>0</v>
      </c>
      <c r="W29" s="5">
        <f t="shared" si="12"/>
        <v>0</v>
      </c>
      <c r="X29" s="5">
        <f t="shared" si="12"/>
        <v>0</v>
      </c>
      <c r="Y29" s="5">
        <f t="shared" si="12"/>
        <v>0</v>
      </c>
      <c r="Z29" s="5">
        <f t="shared" si="12"/>
        <v>0</v>
      </c>
      <c r="AA29" s="5">
        <f t="shared" si="12"/>
        <v>0</v>
      </c>
      <c r="AB29" s="5">
        <f t="shared" si="12"/>
        <v>0</v>
      </c>
      <c r="AC29" s="5">
        <f t="shared" si="12"/>
        <v>0</v>
      </c>
      <c r="AD29" s="5">
        <f t="shared" si="12"/>
        <v>0</v>
      </c>
      <c r="AE29" s="5">
        <f t="shared" si="12"/>
        <v>0</v>
      </c>
      <c r="AF29" s="5">
        <f t="shared" si="12"/>
        <v>0</v>
      </c>
      <c r="AG29" s="5">
        <f t="shared" si="12"/>
        <v>0</v>
      </c>
      <c r="AH29" s="5">
        <f t="shared" si="12"/>
        <v>0</v>
      </c>
      <c r="AI29" s="5">
        <f t="shared" si="12"/>
        <v>0</v>
      </c>
      <c r="AJ29" s="5">
        <f t="shared" si="12"/>
        <v>0</v>
      </c>
      <c r="AK29" s="5">
        <f t="shared" si="12"/>
        <v>0</v>
      </c>
      <c r="AL29" s="5">
        <f t="shared" si="12"/>
        <v>0</v>
      </c>
    </row>
    <row r="30" spans="2:38">
      <c r="B30" s="87" t="s">
        <v>155</v>
      </c>
      <c r="C30" s="5">
        <v>0</v>
      </c>
      <c r="D30" s="5">
        <f>D29</f>
        <v>144.84411868138045</v>
      </c>
      <c r="E30" s="5">
        <f>D30+E29</f>
        <v>223.5549800162853</v>
      </c>
      <c r="F30" s="5">
        <f t="shared" ref="F30:AL30" si="13">E30+F29</f>
        <v>233.48725371085538</v>
      </c>
      <c r="G30" s="5">
        <f t="shared" si="13"/>
        <v>171.88979625947741</v>
      </c>
      <c r="H30" s="5">
        <f t="shared" si="13"/>
        <v>35.901418416313845</v>
      </c>
      <c r="I30" s="5">
        <f t="shared" si="13"/>
        <v>0</v>
      </c>
      <c r="J30" s="5">
        <f t="shared" si="13"/>
        <v>0</v>
      </c>
      <c r="K30" s="5">
        <f t="shared" si="13"/>
        <v>0</v>
      </c>
      <c r="L30" s="5">
        <f t="shared" si="13"/>
        <v>0</v>
      </c>
      <c r="M30" s="5">
        <f t="shared" si="13"/>
        <v>0</v>
      </c>
      <c r="N30" s="5">
        <f t="shared" si="13"/>
        <v>0</v>
      </c>
      <c r="O30" s="5">
        <f t="shared" si="13"/>
        <v>0</v>
      </c>
      <c r="P30" s="5">
        <f t="shared" si="13"/>
        <v>0</v>
      </c>
      <c r="Q30" s="5">
        <f t="shared" si="13"/>
        <v>0</v>
      </c>
      <c r="R30" s="5">
        <f t="shared" si="13"/>
        <v>0</v>
      </c>
      <c r="S30" s="5">
        <f t="shared" si="13"/>
        <v>0</v>
      </c>
      <c r="T30" s="5">
        <f t="shared" si="13"/>
        <v>0</v>
      </c>
      <c r="U30" s="5">
        <f t="shared" si="13"/>
        <v>0</v>
      </c>
      <c r="V30" s="5">
        <f t="shared" si="13"/>
        <v>0</v>
      </c>
      <c r="W30" s="5">
        <f t="shared" si="13"/>
        <v>0</v>
      </c>
      <c r="X30" s="5">
        <f t="shared" si="13"/>
        <v>0</v>
      </c>
      <c r="Y30" s="5">
        <f t="shared" si="13"/>
        <v>0</v>
      </c>
      <c r="Z30" s="5">
        <f t="shared" si="13"/>
        <v>0</v>
      </c>
      <c r="AA30" s="5">
        <f t="shared" si="13"/>
        <v>0</v>
      </c>
      <c r="AB30" s="5">
        <f t="shared" si="13"/>
        <v>0</v>
      </c>
      <c r="AC30" s="5">
        <f t="shared" si="13"/>
        <v>0</v>
      </c>
      <c r="AD30" s="5">
        <f t="shared" si="13"/>
        <v>0</v>
      </c>
      <c r="AE30" s="5">
        <f t="shared" si="13"/>
        <v>0</v>
      </c>
      <c r="AF30" s="5">
        <f t="shared" si="13"/>
        <v>0</v>
      </c>
      <c r="AG30" s="5">
        <f t="shared" si="13"/>
        <v>0</v>
      </c>
      <c r="AH30" s="5">
        <f t="shared" si="13"/>
        <v>0</v>
      </c>
      <c r="AI30" s="5">
        <f t="shared" si="13"/>
        <v>0</v>
      </c>
      <c r="AJ30" s="5">
        <f t="shared" si="13"/>
        <v>0</v>
      </c>
      <c r="AK30" s="5">
        <f t="shared" si="13"/>
        <v>0</v>
      </c>
      <c r="AL30" s="5">
        <f t="shared" si="13"/>
        <v>0</v>
      </c>
    </row>
    <row r="31" spans="2:38">
      <c r="B31" s="87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2:38">
      <c r="B32" s="87" t="s">
        <v>170</v>
      </c>
      <c r="C32" s="5"/>
      <c r="D32" s="22">
        <f>D15</f>
        <v>1620.3200000000002</v>
      </c>
      <c r="E32" s="22">
        <f t="shared" ref="E32:AL32" si="14">E15</f>
        <v>1685.1328000000003</v>
      </c>
      <c r="F32" s="22">
        <f t="shared" si="14"/>
        <v>1752.5381120000004</v>
      </c>
      <c r="G32" s="22">
        <f t="shared" si="14"/>
        <v>1822.6396364800005</v>
      </c>
      <c r="H32" s="22">
        <f t="shared" si="14"/>
        <v>1895.5452219392005</v>
      </c>
      <c r="I32" s="22">
        <f t="shared" si="14"/>
        <v>1971.3670308167686</v>
      </c>
      <c r="J32" s="22">
        <f t="shared" si="14"/>
        <v>2050.2217120494392</v>
      </c>
      <c r="K32" s="22">
        <f t="shared" si="14"/>
        <v>2132.2305805314168</v>
      </c>
      <c r="L32" s="22">
        <f t="shared" si="14"/>
        <v>2217.5198037526734</v>
      </c>
      <c r="M32" s="22">
        <f t="shared" si="14"/>
        <v>2306.2205959027806</v>
      </c>
      <c r="N32" s="22">
        <f t="shared" si="14"/>
        <v>2398.4694197388917</v>
      </c>
      <c r="O32" s="22">
        <f t="shared" si="14"/>
        <v>2494.4081965284477</v>
      </c>
      <c r="P32" s="22">
        <f t="shared" si="14"/>
        <v>2594.1845243895855</v>
      </c>
      <c r="Q32" s="22">
        <f t="shared" si="14"/>
        <v>2697.9519053651688</v>
      </c>
      <c r="R32" s="22">
        <f t="shared" si="14"/>
        <v>2805.8699815797759</v>
      </c>
      <c r="S32" s="22">
        <f t="shared" si="14"/>
        <v>2918.1047808429671</v>
      </c>
      <c r="T32" s="22">
        <f t="shared" si="14"/>
        <v>3034.8289720766861</v>
      </c>
      <c r="U32" s="22">
        <f t="shared" si="14"/>
        <v>3156.2221309597535</v>
      </c>
      <c r="V32" s="22">
        <f t="shared" si="14"/>
        <v>3282.4710161981438</v>
      </c>
      <c r="W32" s="22">
        <f t="shared" si="14"/>
        <v>3413.7698568460696</v>
      </c>
      <c r="X32" s="22">
        <f t="shared" si="14"/>
        <v>3550.3206511199123</v>
      </c>
      <c r="Y32" s="22">
        <f t="shared" si="14"/>
        <v>3692.3334771647092</v>
      </c>
      <c r="Z32" s="22">
        <f t="shared" si="14"/>
        <v>3840.0268162512975</v>
      </c>
      <c r="AA32" s="22">
        <f t="shared" si="14"/>
        <v>3993.6278889013497</v>
      </c>
      <c r="AB32" s="22">
        <f t="shared" si="14"/>
        <v>4153.373004457404</v>
      </c>
      <c r="AC32" s="22">
        <f t="shared" si="14"/>
        <v>4319.5079246357</v>
      </c>
      <c r="AD32" s="22">
        <f t="shared" si="14"/>
        <v>4492.2882416211278</v>
      </c>
      <c r="AE32" s="22">
        <f t="shared" si="14"/>
        <v>4671.9797712859727</v>
      </c>
      <c r="AF32" s="22">
        <f t="shared" si="14"/>
        <v>4858.8589621374122</v>
      </c>
      <c r="AG32" s="22">
        <f t="shared" si="14"/>
        <v>5053.2133206229091</v>
      </c>
      <c r="AH32" s="22">
        <f t="shared" si="14"/>
        <v>5255.341853447826</v>
      </c>
      <c r="AI32" s="22">
        <f t="shared" si="14"/>
        <v>5465.5555275857396</v>
      </c>
      <c r="AJ32" s="22">
        <f t="shared" si="14"/>
        <v>5684.1777486891697</v>
      </c>
      <c r="AK32" s="22">
        <f t="shared" si="14"/>
        <v>5911.5448586367365</v>
      </c>
      <c r="AL32" s="22">
        <f t="shared" si="14"/>
        <v>6148.0066529822061</v>
      </c>
    </row>
    <row r="33" spans="2:38">
      <c r="B33" s="87" t="s">
        <v>188</v>
      </c>
      <c r="C33" s="5"/>
      <c r="D33" s="22">
        <f>D22</f>
        <v>-1568.3200000000002</v>
      </c>
      <c r="E33" s="22">
        <f t="shared" ref="E33:AL33" si="15">E22</f>
        <v>-1631.0528000000004</v>
      </c>
      <c r="F33" s="22">
        <f>F22</f>
        <v>-1696.2949120000003</v>
      </c>
      <c r="G33" s="22">
        <f t="shared" si="15"/>
        <v>-1764.1467084800006</v>
      </c>
      <c r="H33" s="22">
        <f t="shared" si="15"/>
        <v>-1834.7125768192004</v>
      </c>
      <c r="I33" s="22">
        <f t="shared" si="15"/>
        <v>-1730.6475632576617</v>
      </c>
      <c r="J33" s="22">
        <f t="shared" si="15"/>
        <v>-1704.8052498720156</v>
      </c>
      <c r="K33" s="22">
        <f t="shared" si="15"/>
        <v>-1722.8721763771864</v>
      </c>
      <c r="L33" s="22">
        <f t="shared" si="15"/>
        <v>-1745.6718026217404</v>
      </c>
      <c r="M33" s="22">
        <f t="shared" si="15"/>
        <v>-1773.0726347809198</v>
      </c>
      <c r="N33" s="22">
        <f t="shared" si="15"/>
        <v>-1804.963583422121</v>
      </c>
      <c r="O33" s="22">
        <f t="shared" si="15"/>
        <v>-1841.2527265489734</v>
      </c>
      <c r="P33" s="22">
        <f t="shared" si="15"/>
        <v>-1881.8661874177026</v>
      </c>
      <c r="Q33" s="22">
        <f t="shared" si="15"/>
        <v>-1926.7471185766394</v>
      </c>
      <c r="R33" s="22">
        <f t="shared" si="15"/>
        <v>-1975.8547842889552</v>
      </c>
      <c r="S33" s="22">
        <f t="shared" si="15"/>
        <v>-2029.1637341522237</v>
      </c>
      <c r="T33" s="22">
        <f t="shared" si="15"/>
        <v>-2086.6630613306861</v>
      </c>
      <c r="U33" s="22">
        <f t="shared" si="15"/>
        <v>-2148.3557393712972</v>
      </c>
      <c r="V33" s="22">
        <f t="shared" si="15"/>
        <v>-2214.2580320865418</v>
      </c>
      <c r="W33" s="22">
        <f t="shared" si="15"/>
        <v>-2284.3989714591653</v>
      </c>
      <c r="X33" s="22">
        <f t="shared" si="15"/>
        <v>-2358.8198989595603</v>
      </c>
      <c r="Y33" s="22">
        <f t="shared" si="15"/>
        <v>-2437.5740660686092</v>
      </c>
      <c r="Z33" s="22">
        <f t="shared" si="15"/>
        <v>-2520.7262901699664</v>
      </c>
      <c r="AA33" s="22">
        <f t="shared" si="15"/>
        <v>-2608.3526623186895</v>
      </c>
      <c r="AB33" s="22">
        <f t="shared" si="15"/>
        <v>-2700.5403037100077</v>
      </c>
      <c r="AC33" s="22">
        <f t="shared" si="15"/>
        <v>-2797.3871679650924</v>
      </c>
      <c r="AD33" s="22">
        <f t="shared" si="15"/>
        <v>-2899.0018866218452</v>
      </c>
      <c r="AE33" s="22">
        <f t="shared" si="15"/>
        <v>-3005.5036554698167</v>
      </c>
      <c r="AF33" s="22">
        <f t="shared" si="15"/>
        <v>-3117.0221596010601</v>
      </c>
      <c r="AG33" s="22">
        <f t="shared" si="15"/>
        <v>-3233.6975352645568</v>
      </c>
      <c r="AH33" s="22">
        <f t="shared" si="15"/>
        <v>-3355.6803668122361</v>
      </c>
      <c r="AI33" s="22">
        <f t="shared" si="15"/>
        <v>-3483.1317172108552</v>
      </c>
      <c r="AJ33" s="22">
        <f t="shared" si="15"/>
        <v>-3616.223190767329</v>
      </c>
      <c r="AK33" s="22">
        <f t="shared" si="15"/>
        <v>-3755.1370268766186</v>
      </c>
      <c r="AL33" s="22">
        <f t="shared" si="15"/>
        <v>-3900.0662237519923</v>
      </c>
    </row>
    <row r="34" spans="2:38">
      <c r="B34" s="87" t="s">
        <v>189</v>
      </c>
      <c r="C34" s="5"/>
      <c r="D34" s="24">
        <f>D17</f>
        <v>-52</v>
      </c>
      <c r="E34" s="24">
        <f t="shared" ref="E34:AL34" si="16">E17</f>
        <v>-54.08</v>
      </c>
      <c r="F34" s="24">
        <f t="shared" si="16"/>
        <v>-56.243200000000002</v>
      </c>
      <c r="G34" s="24">
        <f t="shared" si="16"/>
        <v>-58.492928000000006</v>
      </c>
      <c r="H34" s="24">
        <f t="shared" si="16"/>
        <v>-60.832645120000009</v>
      </c>
      <c r="I34" s="24">
        <f t="shared" si="16"/>
        <v>-63.265950924800009</v>
      </c>
      <c r="J34" s="24">
        <f t="shared" si="16"/>
        <v>-65.796588961792011</v>
      </c>
      <c r="K34" s="24">
        <f t="shared" si="16"/>
        <v>-68.42845252026369</v>
      </c>
      <c r="L34" s="24">
        <f t="shared" si="16"/>
        <v>-71.165590621074244</v>
      </c>
      <c r="M34" s="24">
        <f t="shared" si="16"/>
        <v>-74.012214245917221</v>
      </c>
      <c r="N34" s="24">
        <f t="shared" si="16"/>
        <v>-76.972702815753919</v>
      </c>
      <c r="O34" s="24">
        <f t="shared" si="16"/>
        <v>-80.051610928384079</v>
      </c>
      <c r="P34" s="24">
        <f t="shared" si="16"/>
        <v>-83.253675365519442</v>
      </c>
      <c r="Q34" s="24">
        <f t="shared" si="16"/>
        <v>-86.583822380140219</v>
      </c>
      <c r="R34" s="24">
        <f t="shared" si="16"/>
        <v>-90.047175275345836</v>
      </c>
      <c r="S34" s="24">
        <f t="shared" si="16"/>
        <v>-93.64906228635968</v>
      </c>
      <c r="T34" s="24">
        <f t="shared" si="16"/>
        <v>-97.395024777814072</v>
      </c>
      <c r="U34" s="24">
        <f t="shared" si="16"/>
        <v>-101.29082576892664</v>
      </c>
      <c r="V34" s="24">
        <f t="shared" si="16"/>
        <v>-105.34245879968371</v>
      </c>
      <c r="W34" s="24">
        <f t="shared" si="16"/>
        <v>-109.55615715167106</v>
      </c>
      <c r="X34" s="24">
        <f t="shared" si="16"/>
        <v>-113.9384034377379</v>
      </c>
      <c r="Y34" s="24">
        <f t="shared" si="16"/>
        <v>-118.49593957524742</v>
      </c>
      <c r="Z34" s="24">
        <f t="shared" si="16"/>
        <v>-123.23577715825732</v>
      </c>
      <c r="AA34" s="24">
        <f t="shared" si="16"/>
        <v>-128.16520824458763</v>
      </c>
      <c r="AB34" s="24">
        <f t="shared" si="16"/>
        <v>-133.29181657437115</v>
      </c>
      <c r="AC34" s="24">
        <f t="shared" si="16"/>
        <v>-138.62348923734601</v>
      </c>
      <c r="AD34" s="24">
        <f t="shared" si="16"/>
        <v>-144.16842880683984</v>
      </c>
      <c r="AE34" s="24">
        <f t="shared" si="16"/>
        <v>-149.93516595911345</v>
      </c>
      <c r="AF34" s="24">
        <f t="shared" si="16"/>
        <v>-155.93257259747799</v>
      </c>
      <c r="AG34" s="24">
        <f t="shared" si="16"/>
        <v>-162.16987550137711</v>
      </c>
      <c r="AH34" s="24">
        <f t="shared" si="16"/>
        <v>-168.6566705214322</v>
      </c>
      <c r="AI34" s="24">
        <f t="shared" si="16"/>
        <v>-175.4029373422895</v>
      </c>
      <c r="AJ34" s="24">
        <f t="shared" si="16"/>
        <v>-182.41905483598109</v>
      </c>
      <c r="AK34" s="24">
        <f t="shared" si="16"/>
        <v>-189.71581702942035</v>
      </c>
      <c r="AL34" s="24">
        <f t="shared" si="16"/>
        <v>-197.30444971059717</v>
      </c>
    </row>
    <row r="35" spans="2:38">
      <c r="B35" s="87" t="s">
        <v>9</v>
      </c>
      <c r="C35" s="5"/>
      <c r="D35" s="22">
        <f t="shared" ref="D35:AL35" si="17">SUM(D32:D34)</f>
        <v>0</v>
      </c>
      <c r="E35" s="22">
        <f t="shared" si="17"/>
        <v>-7.1054273576010019E-14</v>
      </c>
      <c r="F35" s="22">
        <f t="shared" si="17"/>
        <v>1.1368683772161603E-13</v>
      </c>
      <c r="G35" s="22">
        <f t="shared" si="17"/>
        <v>-1.1368683772161603E-13</v>
      </c>
      <c r="H35" s="22">
        <f t="shared" si="17"/>
        <v>0</v>
      </c>
      <c r="I35" s="22">
        <f t="shared" si="17"/>
        <v>177.45351663430699</v>
      </c>
      <c r="J35" s="22">
        <f t="shared" si="17"/>
        <v>279.61987321563169</v>
      </c>
      <c r="K35" s="22">
        <f t="shared" si="17"/>
        <v>340.92995163396665</v>
      </c>
      <c r="L35" s="22">
        <f t="shared" si="17"/>
        <v>400.68241050985876</v>
      </c>
      <c r="M35" s="22">
        <f t="shared" si="17"/>
        <v>459.1357468759436</v>
      </c>
      <c r="N35" s="22">
        <f t="shared" si="17"/>
        <v>516.53313350101678</v>
      </c>
      <c r="O35" s="22">
        <f t="shared" si="17"/>
        <v>573.10385905109013</v>
      </c>
      <c r="P35" s="22">
        <f t="shared" si="17"/>
        <v>629.06466160636342</v>
      </c>
      <c r="Q35" s="22">
        <f t="shared" si="17"/>
        <v>684.62096440838923</v>
      </c>
      <c r="R35" s="22">
        <f t="shared" si="17"/>
        <v>739.96802201547484</v>
      </c>
      <c r="S35" s="22">
        <f t="shared" si="17"/>
        <v>795.2919844043837</v>
      </c>
      <c r="T35" s="22">
        <f t="shared" si="17"/>
        <v>850.77088596818589</v>
      </c>
      <c r="U35" s="22">
        <f t="shared" si="17"/>
        <v>906.57556581952963</v>
      </c>
      <c r="V35" s="22">
        <f t="shared" si="17"/>
        <v>962.8705253119183</v>
      </c>
      <c r="W35" s="22">
        <f t="shared" si="17"/>
        <v>1019.8147282352332</v>
      </c>
      <c r="X35" s="22">
        <f t="shared" si="17"/>
        <v>1077.5623487226142</v>
      </c>
      <c r="Y35" s="22">
        <f t="shared" si="17"/>
        <v>1136.2634715208526</v>
      </c>
      <c r="Z35" s="22">
        <f t="shared" si="17"/>
        <v>1196.0647489230737</v>
      </c>
      <c r="AA35" s="22">
        <f t="shared" si="17"/>
        <v>1257.1100183380727</v>
      </c>
      <c r="AB35" s="22">
        <f t="shared" si="17"/>
        <v>1319.5408841730252</v>
      </c>
      <c r="AC35" s="22">
        <f t="shared" si="17"/>
        <v>1383.4972674332616</v>
      </c>
      <c r="AD35" s="22">
        <f t="shared" si="17"/>
        <v>1449.1179261924428</v>
      </c>
      <c r="AE35" s="22">
        <f t="shared" si="17"/>
        <v>1516.5409498570425</v>
      </c>
      <c r="AF35" s="22">
        <f t="shared" si="17"/>
        <v>1585.9042299388741</v>
      </c>
      <c r="AG35" s="22">
        <f t="shared" si="17"/>
        <v>1657.3459098569751</v>
      </c>
      <c r="AH35" s="22">
        <f t="shared" si="17"/>
        <v>1731.0048161141576</v>
      </c>
      <c r="AI35" s="22">
        <f t="shared" si="17"/>
        <v>1807.0208730325949</v>
      </c>
      <c r="AJ35" s="22">
        <f t="shared" si="17"/>
        <v>1885.5355030858595</v>
      </c>
      <c r="AK35" s="22">
        <f t="shared" si="17"/>
        <v>1966.6920147306976</v>
      </c>
      <c r="AL35" s="22">
        <f t="shared" si="17"/>
        <v>2050.6359795196167</v>
      </c>
    </row>
    <row r="36" spans="2:38">
      <c r="B36" s="87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2:38">
      <c r="B37" s="87" t="s">
        <v>190</v>
      </c>
      <c r="C37" s="5"/>
      <c r="D37" s="5">
        <f t="shared" ref="D37:AL37" si="18">$G$5*D35</f>
        <v>0</v>
      </c>
      <c r="E37" s="5">
        <f t="shared" si="18"/>
        <v>-1.8829382497642657E-14</v>
      </c>
      <c r="F37" s="5">
        <f t="shared" si="18"/>
        <v>3.0127011996228249E-14</v>
      </c>
      <c r="G37" s="5">
        <f t="shared" si="18"/>
        <v>-3.0127011996228249E-14</v>
      </c>
      <c r="H37" s="5">
        <f t="shared" si="18"/>
        <v>0</v>
      </c>
      <c r="I37" s="5">
        <f t="shared" si="18"/>
        <v>47.025181908091355</v>
      </c>
      <c r="J37" s="5">
        <f t="shared" si="18"/>
        <v>74.099266402142405</v>
      </c>
      <c r="K37" s="5">
        <f t="shared" si="18"/>
        <v>90.346437183001171</v>
      </c>
      <c r="L37" s="5">
        <f t="shared" si="18"/>
        <v>106.18083878511257</v>
      </c>
      <c r="M37" s="5">
        <f t="shared" si="18"/>
        <v>121.67097292212506</v>
      </c>
      <c r="N37" s="5">
        <f t="shared" si="18"/>
        <v>136.88128037776946</v>
      </c>
      <c r="O37" s="5">
        <f t="shared" si="18"/>
        <v>151.8725226485389</v>
      </c>
      <c r="P37" s="5">
        <f t="shared" si="18"/>
        <v>166.7021353256863</v>
      </c>
      <c r="Q37" s="5">
        <f t="shared" si="18"/>
        <v>181.42455556822316</v>
      </c>
      <c r="R37" s="5">
        <f t="shared" si="18"/>
        <v>196.09152583410085</v>
      </c>
      <c r="S37" s="5">
        <f t="shared" si="18"/>
        <v>210.7523758671617</v>
      </c>
      <c r="T37" s="5">
        <f t="shared" si="18"/>
        <v>225.45428478156927</v>
      </c>
      <c r="U37" s="5">
        <f t="shared" si="18"/>
        <v>240.24252494217535</v>
      </c>
      <c r="V37" s="5">
        <f t="shared" si="18"/>
        <v>255.16068920765835</v>
      </c>
      <c r="W37" s="5">
        <f t="shared" si="18"/>
        <v>270.25090298233681</v>
      </c>
      <c r="X37" s="5">
        <f t="shared" si="18"/>
        <v>285.55402241149278</v>
      </c>
      <c r="Y37" s="5">
        <f t="shared" si="18"/>
        <v>301.10981995302598</v>
      </c>
      <c r="Z37" s="5">
        <f t="shared" si="18"/>
        <v>316.95715846461457</v>
      </c>
      <c r="AA37" s="5">
        <f t="shared" si="18"/>
        <v>333.13415485958927</v>
      </c>
      <c r="AB37" s="5">
        <f t="shared" si="18"/>
        <v>349.67833430585171</v>
      </c>
      <c r="AC37" s="5">
        <f t="shared" si="18"/>
        <v>366.62677586981437</v>
      </c>
      <c r="AD37" s="5">
        <f t="shared" si="18"/>
        <v>384.0162504409974</v>
      </c>
      <c r="AE37" s="5">
        <f t="shared" si="18"/>
        <v>401.88335171211628</v>
      </c>
      <c r="AF37" s="5">
        <f t="shared" si="18"/>
        <v>420.26462093380167</v>
      </c>
      <c r="AG37" s="5">
        <f t="shared" si="18"/>
        <v>439.19666611209846</v>
      </c>
      <c r="AH37" s="5">
        <f t="shared" si="18"/>
        <v>458.7162762702518</v>
      </c>
      <c r="AI37" s="5">
        <f t="shared" si="18"/>
        <v>478.86053135363767</v>
      </c>
      <c r="AJ37" s="5">
        <f t="shared" si="18"/>
        <v>499.66690831775281</v>
      </c>
      <c r="AK37" s="5">
        <f t="shared" si="18"/>
        <v>521.17338390363489</v>
      </c>
      <c r="AL37" s="5">
        <f t="shared" si="18"/>
        <v>543.41853457269849</v>
      </c>
    </row>
    <row r="38" spans="2:38">
      <c r="B38" s="87" t="s">
        <v>191</v>
      </c>
      <c r="C38" s="5"/>
      <c r="D38" s="5">
        <f t="shared" ref="D38:AL38" si="19">$G$7*D37</f>
        <v>0</v>
      </c>
      <c r="E38" s="5">
        <f t="shared" si="19"/>
        <v>-7.5317529990570639E-15</v>
      </c>
      <c r="F38" s="5">
        <f t="shared" si="19"/>
        <v>1.20508047984913E-14</v>
      </c>
      <c r="G38" s="5">
        <f t="shared" si="19"/>
        <v>-1.20508047984913E-14</v>
      </c>
      <c r="H38" s="5">
        <f t="shared" si="19"/>
        <v>0</v>
      </c>
      <c r="I38" s="5">
        <f t="shared" si="19"/>
        <v>18.810072763236544</v>
      </c>
      <c r="J38" s="5">
        <f t="shared" si="19"/>
        <v>29.639706560856965</v>
      </c>
      <c r="K38" s="5">
        <f t="shared" si="19"/>
        <v>36.138574873200469</v>
      </c>
      <c r="L38" s="5">
        <f t="shared" si="19"/>
        <v>42.472335514045028</v>
      </c>
      <c r="M38" s="5">
        <f t="shared" si="19"/>
        <v>48.668389168850027</v>
      </c>
      <c r="N38" s="5">
        <f t="shared" si="19"/>
        <v>54.752512151107787</v>
      </c>
      <c r="O38" s="5">
        <f t="shared" si="19"/>
        <v>60.749009059415563</v>
      </c>
      <c r="P38" s="5">
        <f t="shared" si="19"/>
        <v>66.680854130274525</v>
      </c>
      <c r="Q38" s="5">
        <f t="shared" si="19"/>
        <v>72.569822227289265</v>
      </c>
      <c r="R38" s="5">
        <f t="shared" si="19"/>
        <v>78.436610333640346</v>
      </c>
      <c r="S38" s="5">
        <f t="shared" si="19"/>
        <v>84.300950346864681</v>
      </c>
      <c r="T38" s="5">
        <f t="shared" si="19"/>
        <v>90.181713912627714</v>
      </c>
      <c r="U38" s="5">
        <f t="shared" si="19"/>
        <v>96.09700997687014</v>
      </c>
      <c r="V38" s="5">
        <f t="shared" si="19"/>
        <v>102.06427568306334</v>
      </c>
      <c r="W38" s="5">
        <f t="shared" si="19"/>
        <v>108.10036119293473</v>
      </c>
      <c r="X38" s="5">
        <f t="shared" si="19"/>
        <v>114.22160896459712</v>
      </c>
      <c r="Y38" s="5">
        <f t="shared" si="19"/>
        <v>120.44392798121039</v>
      </c>
      <c r="Z38" s="5">
        <f t="shared" si="19"/>
        <v>126.78286338584583</v>
      </c>
      <c r="AA38" s="5">
        <f t="shared" si="19"/>
        <v>133.25366194383571</v>
      </c>
      <c r="AB38" s="5">
        <f t="shared" si="19"/>
        <v>139.87133372234069</v>
      </c>
      <c r="AC38" s="5">
        <f t="shared" si="19"/>
        <v>146.65071034792575</v>
      </c>
      <c r="AD38" s="5">
        <f t="shared" si="19"/>
        <v>153.60650017639898</v>
      </c>
      <c r="AE38" s="5">
        <f t="shared" si="19"/>
        <v>160.75334068484653</v>
      </c>
      <c r="AF38" s="5">
        <f t="shared" si="19"/>
        <v>168.10584837352067</v>
      </c>
      <c r="AG38" s="5">
        <f t="shared" si="19"/>
        <v>175.67866644483939</v>
      </c>
      <c r="AH38" s="5">
        <f t="shared" si="19"/>
        <v>183.48651050810074</v>
      </c>
      <c r="AI38" s="5">
        <f t="shared" si="19"/>
        <v>191.54421254145507</v>
      </c>
      <c r="AJ38" s="5">
        <f t="shared" si="19"/>
        <v>199.86676332710113</v>
      </c>
      <c r="AK38" s="5">
        <f t="shared" si="19"/>
        <v>208.46935356145397</v>
      </c>
      <c r="AL38" s="5">
        <f t="shared" si="19"/>
        <v>217.3674138290794</v>
      </c>
    </row>
    <row r="39" spans="2:38">
      <c r="B39" s="87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2:38">
      <c r="B40" s="87" t="s">
        <v>244</v>
      </c>
      <c r="C40" s="5"/>
      <c r="D40" s="5">
        <v>144.20116192</v>
      </c>
      <c r="E40" s="5">
        <v>147.85022328320008</v>
      </c>
      <c r="F40" s="5">
        <v>151.81476591001615</v>
      </c>
      <c r="G40" s="5">
        <v>156.09384754626572</v>
      </c>
      <c r="H40" s="5">
        <v>160.6875731679774</v>
      </c>
      <c r="I40" s="5">
        <v>165.59705007696871</v>
      </c>
      <c r="J40" s="5">
        <v>170.82434814373769</v>
      </c>
      <c r="K40" s="5">
        <v>176.3724648480823</v>
      </c>
      <c r="L40" s="5">
        <v>182.24529479831324</v>
      </c>
      <c r="M40" s="5">
        <v>188.44760343804867</v>
      </c>
      <c r="N40" s="5">
        <v>194.98500467554928</v>
      </c>
      <c r="O40" s="5">
        <v>201.8639421945517</v>
      </c>
      <c r="P40" s="5">
        <v>209.0916742277557</v>
      </c>
      <c r="Q40" s="5">
        <v>216.67626159465414</v>
      </c>
      <c r="R40" s="5">
        <v>224.62655882440552</v>
      </c>
      <c r="S40" s="5">
        <v>232.95220820206981</v>
      </c>
      <c r="T40" s="5">
        <v>241.66363659286546</v>
      </c>
      <c r="U40" s="5">
        <v>250.77205491427588</v>
      </c>
      <c r="V40" s="5">
        <v>260.2894601399272</v>
      </c>
      <c r="W40" s="5">
        <v>270.22863973227805</v>
      </c>
      <c r="X40" s="5">
        <v>280.60317841338264</v>
      </c>
      <c r="Y40" s="5">
        <v>291.42746719438645</v>
      </c>
      <c r="Z40" s="5">
        <v>302.7167145950728</v>
      </c>
      <c r="AA40" s="5">
        <v>314.48695999475382</v>
      </c>
      <c r="AB40" s="5">
        <v>326.75508906515188</v>
      </c>
      <c r="AC40" s="5">
        <v>339.53885124471714</v>
      </c>
      <c r="AD40" s="5">
        <v>352.85687922210815</v>
      </c>
      <c r="AE40" s="5">
        <v>366.72871040438662</v>
      </c>
      <c r="AF40" s="5">
        <v>381.17481035288512</v>
      </c>
      <c r="AG40" s="5">
        <v>396.21659817673748</v>
      </c>
      <c r="AH40" s="5">
        <v>411.87647388076488</v>
      </c>
      <c r="AI40" s="5">
        <v>428.17784767079712</v>
      </c>
      <c r="AJ40" s="5">
        <v>445.14517122564632</v>
      </c>
      <c r="AK40" s="5">
        <v>462.80397095084777</v>
      </c>
      <c r="AL40" s="5">
        <v>481.18088323496374</v>
      </c>
    </row>
    <row r="41" spans="2:38">
      <c r="B41" s="87" t="s">
        <v>245</v>
      </c>
      <c r="C41" s="5"/>
      <c r="D41" s="24">
        <f>D37</f>
        <v>0</v>
      </c>
      <c r="E41" s="24">
        <f t="shared" ref="E41:AL41" si="20">E37</f>
        <v>-1.8829382497642657E-14</v>
      </c>
      <c r="F41" s="24">
        <f t="shared" si="20"/>
        <v>3.0127011996228249E-14</v>
      </c>
      <c r="G41" s="24">
        <f t="shared" si="20"/>
        <v>-3.0127011996228249E-14</v>
      </c>
      <c r="H41" s="24">
        <f t="shared" si="20"/>
        <v>0</v>
      </c>
      <c r="I41" s="24">
        <f t="shared" si="20"/>
        <v>47.025181908091355</v>
      </c>
      <c r="J41" s="24">
        <f t="shared" si="20"/>
        <v>74.099266402142405</v>
      </c>
      <c r="K41" s="24">
        <f>K37</f>
        <v>90.346437183001171</v>
      </c>
      <c r="L41" s="24">
        <f t="shared" si="20"/>
        <v>106.18083878511257</v>
      </c>
      <c r="M41" s="24">
        <f t="shared" si="20"/>
        <v>121.67097292212506</v>
      </c>
      <c r="N41" s="24">
        <f t="shared" si="20"/>
        <v>136.88128037776946</v>
      </c>
      <c r="O41" s="24">
        <f t="shared" si="20"/>
        <v>151.8725226485389</v>
      </c>
      <c r="P41" s="24">
        <f t="shared" si="20"/>
        <v>166.7021353256863</v>
      </c>
      <c r="Q41" s="24">
        <f t="shared" si="20"/>
        <v>181.42455556822316</v>
      </c>
      <c r="R41" s="24">
        <f t="shared" si="20"/>
        <v>196.09152583410085</v>
      </c>
      <c r="S41" s="24">
        <f t="shared" si="20"/>
        <v>210.7523758671617</v>
      </c>
      <c r="T41" s="24">
        <f t="shared" si="20"/>
        <v>225.45428478156927</v>
      </c>
      <c r="U41" s="24">
        <f t="shared" si="20"/>
        <v>240.24252494217535</v>
      </c>
      <c r="V41" s="24">
        <f t="shared" si="20"/>
        <v>255.16068920765835</v>
      </c>
      <c r="W41" s="24">
        <f t="shared" si="20"/>
        <v>270.25090298233681</v>
      </c>
      <c r="X41" s="24">
        <f t="shared" si="20"/>
        <v>285.55402241149278</v>
      </c>
      <c r="Y41" s="24">
        <f t="shared" si="20"/>
        <v>301.10981995302598</v>
      </c>
      <c r="Z41" s="24">
        <f t="shared" si="20"/>
        <v>316.95715846461457</v>
      </c>
      <c r="AA41" s="24">
        <f t="shared" si="20"/>
        <v>333.13415485958927</v>
      </c>
      <c r="AB41" s="24">
        <f t="shared" si="20"/>
        <v>349.67833430585171</v>
      </c>
      <c r="AC41" s="24">
        <f t="shared" si="20"/>
        <v>366.62677586981437</v>
      </c>
      <c r="AD41" s="24">
        <f t="shared" si="20"/>
        <v>384.0162504409974</v>
      </c>
      <c r="AE41" s="24">
        <f t="shared" si="20"/>
        <v>401.88335171211628</v>
      </c>
      <c r="AF41" s="24">
        <f t="shared" si="20"/>
        <v>420.26462093380167</v>
      </c>
      <c r="AG41" s="24">
        <f t="shared" si="20"/>
        <v>439.19666611209846</v>
      </c>
      <c r="AH41" s="24">
        <f t="shared" si="20"/>
        <v>458.7162762702518</v>
      </c>
      <c r="AI41" s="24">
        <f t="shared" si="20"/>
        <v>478.86053135363767</v>
      </c>
      <c r="AJ41" s="24">
        <f t="shared" si="20"/>
        <v>499.66690831775281</v>
      </c>
      <c r="AK41" s="24">
        <f t="shared" si="20"/>
        <v>521.17338390363489</v>
      </c>
      <c r="AL41" s="24">
        <f t="shared" si="20"/>
        <v>543.41853457269849</v>
      </c>
    </row>
    <row r="42" spans="2:38">
      <c r="B42" s="317" t="s">
        <v>243</v>
      </c>
      <c r="C42" s="318">
        <f>SUM(D42:AL42)</f>
        <v>954.56109564047449</v>
      </c>
      <c r="D42" s="5">
        <f>D40-D41</f>
        <v>144.20116192</v>
      </c>
      <c r="E42" s="5">
        <f t="shared" ref="E42:AL42" si="21">E40-E41</f>
        <v>147.85022328320011</v>
      </c>
      <c r="F42" s="5">
        <f t="shared" si="21"/>
        <v>151.81476591001612</v>
      </c>
      <c r="G42" s="5">
        <f t="shared" si="21"/>
        <v>156.09384754626575</v>
      </c>
      <c r="H42" s="5">
        <f t="shared" si="21"/>
        <v>160.6875731679774</v>
      </c>
      <c r="I42" s="5">
        <f t="shared" si="21"/>
        <v>118.57186816887736</v>
      </c>
      <c r="J42" s="5">
        <f t="shared" si="21"/>
        <v>96.725081741595289</v>
      </c>
      <c r="K42" s="5">
        <f t="shared" si="21"/>
        <v>86.026027665081131</v>
      </c>
      <c r="L42" s="5">
        <f t="shared" si="21"/>
        <v>76.064456013200669</v>
      </c>
      <c r="M42" s="5">
        <f t="shared" si="21"/>
        <v>66.776630515923614</v>
      </c>
      <c r="N42" s="5">
        <f t="shared" si="21"/>
        <v>58.10372429777982</v>
      </c>
      <c r="O42" s="5">
        <f t="shared" si="21"/>
        <v>49.991419546012793</v>
      </c>
      <c r="P42" s="5">
        <f t="shared" si="21"/>
        <v>42.389538902069404</v>
      </c>
      <c r="Q42" s="5">
        <f t="shared" si="21"/>
        <v>35.251706026430981</v>
      </c>
      <c r="R42" s="5">
        <f t="shared" si="21"/>
        <v>28.535032990304671</v>
      </c>
      <c r="S42" s="5">
        <f t="shared" si="21"/>
        <v>22.199832334908109</v>
      </c>
      <c r="T42" s="5">
        <f t="shared" si="21"/>
        <v>16.209351811296187</v>
      </c>
      <c r="U42" s="5">
        <f t="shared" si="21"/>
        <v>10.529529972100534</v>
      </c>
      <c r="V42" s="5">
        <f t="shared" si="21"/>
        <v>5.1287709322688499</v>
      </c>
      <c r="W42" s="5">
        <f t="shared" si="21"/>
        <v>-2.2263250058756512E-2</v>
      </c>
      <c r="X42" s="5">
        <f t="shared" si="21"/>
        <v>-4.9508439981101446</v>
      </c>
      <c r="Y42" s="5">
        <f t="shared" si="21"/>
        <v>-9.6823527586395244</v>
      </c>
      <c r="Z42" s="5">
        <f t="shared" si="21"/>
        <v>-14.240443869541764</v>
      </c>
      <c r="AA42" s="5">
        <f t="shared" si="21"/>
        <v>-18.647194864835456</v>
      </c>
      <c r="AB42" s="5">
        <f t="shared" si="21"/>
        <v>-22.923245240699828</v>
      </c>
      <c r="AC42" s="5">
        <f t="shared" si="21"/>
        <v>-27.08792462509723</v>
      </c>
      <c r="AD42" s="5">
        <f t="shared" si="21"/>
        <v>-31.159371218889248</v>
      </c>
      <c r="AE42" s="5">
        <f t="shared" si="21"/>
        <v>-35.154641307729662</v>
      </c>
      <c r="AF42" s="5">
        <f t="shared" si="21"/>
        <v>-39.089810580916549</v>
      </c>
      <c r="AG42" s="5">
        <f t="shared" si="21"/>
        <v>-42.980067935360978</v>
      </c>
      <c r="AH42" s="5">
        <f t="shared" si="21"/>
        <v>-46.83980238948692</v>
      </c>
      <c r="AI42" s="5">
        <f t="shared" si="21"/>
        <v>-50.682683682840548</v>
      </c>
      <c r="AJ42" s="5">
        <f t="shared" si="21"/>
        <v>-54.521737092106491</v>
      </c>
      <c r="AK42" s="5">
        <f t="shared" si="21"/>
        <v>-58.369412952787116</v>
      </c>
      <c r="AL42" s="5">
        <f t="shared" si="21"/>
        <v>-62.237651337734746</v>
      </c>
    </row>
    <row r="43" spans="2:38">
      <c r="B43" s="260"/>
      <c r="C43" s="9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2:38">
      <c r="B44" s="87" t="s">
        <v>192</v>
      </c>
      <c r="C44" s="5"/>
      <c r="D44" s="31">
        <f>D37/D13</f>
        <v>0</v>
      </c>
      <c r="E44" s="31">
        <f t="shared" ref="E44:AL44" si="22">E37/E13</f>
        <v>-2.3304983367447426E-17</v>
      </c>
      <c r="F44" s="31">
        <f t="shared" si="22"/>
        <v>3.5853820565303729E-17</v>
      </c>
      <c r="G44" s="31">
        <f t="shared" si="22"/>
        <v>-3.4474827466638193E-17</v>
      </c>
      <c r="H44" s="31">
        <f t="shared" si="22"/>
        <v>0</v>
      </c>
      <c r="I44" s="31">
        <f t="shared" si="22"/>
        <v>4.9751920129942506E-2</v>
      </c>
      <c r="J44" s="31">
        <f t="shared" si="22"/>
        <v>7.5380659282721793E-2</v>
      </c>
      <c r="K44" s="31">
        <f t="shared" si="22"/>
        <v>8.8373837625764368E-2</v>
      </c>
      <c r="L44" s="31">
        <f t="shared" si="22"/>
        <v>9.9867803083071388E-2</v>
      </c>
      <c r="M44" s="31">
        <f t="shared" si="22"/>
        <v>0.11003554175684292</v>
      </c>
      <c r="N44" s="31">
        <f t="shared" si="22"/>
        <v>0.11903007981441009</v>
      </c>
      <c r="O44" s="31">
        <f t="shared" si="22"/>
        <v>0.12698678655764262</v>
      </c>
      <c r="P44" s="31">
        <f t="shared" si="22"/>
        <v>0.13402541175357899</v>
      </c>
      <c r="Q44" s="31">
        <f t="shared" si="22"/>
        <v>0.14025188788844578</v>
      </c>
      <c r="R44" s="31">
        <f t="shared" si="22"/>
        <v>0.14575992446928956</v>
      </c>
      <c r="S44" s="31">
        <f t="shared" si="22"/>
        <v>0.15063241836772825</v>
      </c>
      <c r="T44" s="31">
        <f t="shared" si="22"/>
        <v>0.15494270143173175</v>
      </c>
      <c r="U44" s="31">
        <f t="shared" si="22"/>
        <v>0.15875564414219631</v>
      </c>
      <c r="V44" s="31">
        <f t="shared" si="22"/>
        <v>0.16212863192453042</v>
      </c>
      <c r="W44" s="31">
        <f t="shared" si="22"/>
        <v>0.16511242880890281</v>
      </c>
      <c r="X44" s="31">
        <f t="shared" si="22"/>
        <v>0.16775194143738614</v>
      </c>
      <c r="Y44" s="31">
        <f t="shared" si="22"/>
        <v>0.17008689491642909</v>
      </c>
      <c r="Z44" s="31">
        <f t="shared" si="22"/>
        <v>0.17215243068635167</v>
      </c>
      <c r="AA44" s="31">
        <f t="shared" si="22"/>
        <v>0.17397963540589853</v>
      </c>
      <c r="AB44" s="31">
        <f t="shared" si="22"/>
        <v>0.17559600881165152</v>
      </c>
      <c r="AC44" s="31">
        <f t="shared" si="22"/>
        <v>0.17702587759366381</v>
      </c>
      <c r="AD44" s="31">
        <f t="shared" si="22"/>
        <v>0.1782907615162132</v>
      </c>
      <c r="AE44" s="31">
        <f t="shared" si="22"/>
        <v>0.17940969729385292</v>
      </c>
      <c r="AF44" s="31">
        <f t="shared" si="22"/>
        <v>0.18039952509714963</v>
      </c>
      <c r="AG44" s="31">
        <f t="shared" si="22"/>
        <v>0.18127514200006598</v>
      </c>
      <c r="AH44" s="31">
        <f t="shared" si="22"/>
        <v>0.18204972618341514</v>
      </c>
      <c r="AI44" s="31">
        <f t="shared" si="22"/>
        <v>0.18273493526868556</v>
      </c>
      <c r="AJ44" s="31">
        <f t="shared" si="22"/>
        <v>0.18334108176719396</v>
      </c>
      <c r="AK44" s="31">
        <f t="shared" si="22"/>
        <v>0.18387728828510519</v>
      </c>
      <c r="AL44" s="31">
        <f t="shared" si="22"/>
        <v>0.18435162482018053</v>
      </c>
    </row>
    <row r="45" spans="2:38">
      <c r="B45" s="260"/>
      <c r="C45" s="9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2:38">
      <c r="B46" s="261" t="s">
        <v>365</v>
      </c>
      <c r="C46" s="262"/>
      <c r="D46" s="262">
        <f t="shared" ref="D46:AL46" si="23">IF(((D19+D21)*$G$4)&gt;(D32+D34),-(D32+D34),(-(D19+D21)*$G$4))</f>
        <v>-1568.3200000000002</v>
      </c>
      <c r="E46" s="262">
        <f t="shared" si="23"/>
        <v>-1631.0528000000004</v>
      </c>
      <c r="F46" s="262">
        <f t="shared" si="23"/>
        <v>-1696.2949120000003</v>
      </c>
      <c r="G46" s="262">
        <f t="shared" si="23"/>
        <v>-1702.5492510286226</v>
      </c>
      <c r="H46" s="262">
        <f t="shared" si="23"/>
        <v>-1698.7241989760369</v>
      </c>
      <c r="I46" s="262">
        <f t="shared" si="23"/>
        <v>-1694.7461448413478</v>
      </c>
      <c r="J46" s="262">
        <f t="shared" si="23"/>
        <v>-1704.8052498720156</v>
      </c>
      <c r="K46" s="262">
        <f t="shared" si="23"/>
        <v>-1722.8721763771864</v>
      </c>
      <c r="L46" s="262">
        <f t="shared" si="23"/>
        <v>-1745.6718026217404</v>
      </c>
      <c r="M46" s="262">
        <f t="shared" si="23"/>
        <v>-1773.0726347809198</v>
      </c>
      <c r="N46" s="262">
        <f t="shared" si="23"/>
        <v>-1804.963583422121</v>
      </c>
      <c r="O46" s="262">
        <f t="shared" si="23"/>
        <v>-1841.2527265489734</v>
      </c>
      <c r="P46" s="262">
        <f t="shared" si="23"/>
        <v>-1881.8661874177026</v>
      </c>
      <c r="Q46" s="262">
        <f t="shared" si="23"/>
        <v>-1926.7471185766394</v>
      </c>
      <c r="R46" s="262">
        <f t="shared" si="23"/>
        <v>-1975.8547842889552</v>
      </c>
      <c r="S46" s="262">
        <f t="shared" si="23"/>
        <v>-2029.1637341522237</v>
      </c>
      <c r="T46" s="262">
        <f t="shared" si="23"/>
        <v>-2086.6630613306861</v>
      </c>
      <c r="U46" s="262">
        <f t="shared" si="23"/>
        <v>-2148.3557393712972</v>
      </c>
      <c r="V46" s="262">
        <f t="shared" si="23"/>
        <v>-2214.2580320865418</v>
      </c>
      <c r="W46" s="262">
        <f t="shared" si="23"/>
        <v>-2284.3989714591653</v>
      </c>
      <c r="X46" s="262">
        <f t="shared" si="23"/>
        <v>-2358.8198989595603</v>
      </c>
      <c r="Y46" s="262">
        <f t="shared" si="23"/>
        <v>-2437.5740660686092</v>
      </c>
      <c r="Z46" s="262">
        <f t="shared" si="23"/>
        <v>-2520.7262901699664</v>
      </c>
      <c r="AA46" s="262">
        <f t="shared" si="23"/>
        <v>-2608.3526623186895</v>
      </c>
      <c r="AB46" s="262">
        <f t="shared" si="23"/>
        <v>-2700.5403037100077</v>
      </c>
      <c r="AC46" s="262">
        <f t="shared" si="23"/>
        <v>-2797.3871679650924</v>
      </c>
      <c r="AD46" s="262">
        <f t="shared" si="23"/>
        <v>-2899.0018866218452</v>
      </c>
      <c r="AE46" s="262">
        <f t="shared" si="23"/>
        <v>-3005.5036554698167</v>
      </c>
      <c r="AF46" s="262">
        <f t="shared" si="23"/>
        <v>-3117.0221596010601</v>
      </c>
      <c r="AG46" s="262">
        <f t="shared" si="23"/>
        <v>-3233.6975352645568</v>
      </c>
      <c r="AH46" s="262">
        <f t="shared" si="23"/>
        <v>-3355.6803668122361</v>
      </c>
      <c r="AI46" s="262">
        <f t="shared" si="23"/>
        <v>-3483.1317172108552</v>
      </c>
      <c r="AJ46" s="262">
        <f t="shared" si="23"/>
        <v>-3616.223190767329</v>
      </c>
      <c r="AK46" s="262">
        <f t="shared" si="23"/>
        <v>-3755.1370268766186</v>
      </c>
      <c r="AL46" s="263">
        <f t="shared" si="23"/>
        <v>-3900.0662237519923</v>
      </c>
    </row>
    <row r="47" spans="2:38">
      <c r="B47" s="264"/>
      <c r="C47" s="22"/>
      <c r="D47" s="22">
        <f t="shared" ref="D47:AL47" si="24">D46+D32+D34</f>
        <v>0</v>
      </c>
      <c r="E47" s="22">
        <f t="shared" si="24"/>
        <v>-7.1054273576010019E-14</v>
      </c>
      <c r="F47" s="22">
        <f t="shared" si="24"/>
        <v>1.1368683772161603E-13</v>
      </c>
      <c r="G47" s="22">
        <f t="shared" si="24"/>
        <v>61.597457451377863</v>
      </c>
      <c r="H47" s="22">
        <f t="shared" si="24"/>
        <v>135.98837784316362</v>
      </c>
      <c r="I47" s="22">
        <f t="shared" si="24"/>
        <v>213.35493505062084</v>
      </c>
      <c r="J47" s="22">
        <f t="shared" si="24"/>
        <v>279.61987321563169</v>
      </c>
      <c r="K47" s="22">
        <f t="shared" si="24"/>
        <v>340.92995163396665</v>
      </c>
      <c r="L47" s="22">
        <f t="shared" si="24"/>
        <v>400.68241050985876</v>
      </c>
      <c r="M47" s="22">
        <f t="shared" si="24"/>
        <v>459.1357468759436</v>
      </c>
      <c r="N47" s="22">
        <f t="shared" si="24"/>
        <v>516.53313350101678</v>
      </c>
      <c r="O47" s="22">
        <f t="shared" si="24"/>
        <v>573.10385905109013</v>
      </c>
      <c r="P47" s="22">
        <f t="shared" si="24"/>
        <v>629.06466160636342</v>
      </c>
      <c r="Q47" s="22">
        <f t="shared" si="24"/>
        <v>684.62096440838923</v>
      </c>
      <c r="R47" s="22">
        <f t="shared" si="24"/>
        <v>739.96802201547484</v>
      </c>
      <c r="S47" s="22">
        <f t="shared" si="24"/>
        <v>795.2919844043837</v>
      </c>
      <c r="T47" s="22">
        <f t="shared" si="24"/>
        <v>850.77088596818589</v>
      </c>
      <c r="U47" s="22">
        <f t="shared" si="24"/>
        <v>906.57556581952963</v>
      </c>
      <c r="V47" s="22">
        <f t="shared" si="24"/>
        <v>962.8705253119183</v>
      </c>
      <c r="W47" s="22">
        <f t="shared" si="24"/>
        <v>1019.8147282352332</v>
      </c>
      <c r="X47" s="22">
        <f t="shared" si="24"/>
        <v>1077.5623487226142</v>
      </c>
      <c r="Y47" s="22">
        <f t="shared" si="24"/>
        <v>1136.2634715208526</v>
      </c>
      <c r="Z47" s="22">
        <f t="shared" si="24"/>
        <v>1196.0647489230737</v>
      </c>
      <c r="AA47" s="22">
        <f t="shared" si="24"/>
        <v>1257.1100183380727</v>
      </c>
      <c r="AB47" s="22">
        <f t="shared" si="24"/>
        <v>1319.5408841730252</v>
      </c>
      <c r="AC47" s="22">
        <f t="shared" si="24"/>
        <v>1383.4972674332616</v>
      </c>
      <c r="AD47" s="22">
        <f t="shared" si="24"/>
        <v>1449.1179261924428</v>
      </c>
      <c r="AE47" s="22">
        <f t="shared" si="24"/>
        <v>1516.5409498570425</v>
      </c>
      <c r="AF47" s="22">
        <f t="shared" si="24"/>
        <v>1585.9042299388741</v>
      </c>
      <c r="AG47" s="22">
        <f t="shared" si="24"/>
        <v>1657.3459098569751</v>
      </c>
      <c r="AH47" s="22">
        <f t="shared" si="24"/>
        <v>1731.0048161141576</v>
      </c>
      <c r="AI47" s="22">
        <f t="shared" si="24"/>
        <v>1807.0208730325949</v>
      </c>
      <c r="AJ47" s="22">
        <f t="shared" si="24"/>
        <v>1885.5355030858595</v>
      </c>
      <c r="AK47" s="22">
        <f t="shared" si="24"/>
        <v>1966.6920147306976</v>
      </c>
      <c r="AL47" s="59">
        <f t="shared" si="24"/>
        <v>2050.6359795196167</v>
      </c>
    </row>
    <row r="48" spans="2:38">
      <c r="B48" s="264"/>
      <c r="C48" s="22"/>
      <c r="D48" s="22">
        <f>IF(D47&lt;1,0,1)</f>
        <v>0</v>
      </c>
      <c r="E48" s="22">
        <f t="shared" ref="E48:AL48" si="25">IF(E47&lt;1,0,1)</f>
        <v>0</v>
      </c>
      <c r="F48" s="22">
        <f t="shared" si="25"/>
        <v>0</v>
      </c>
      <c r="G48" s="22">
        <f t="shared" si="25"/>
        <v>1</v>
      </c>
      <c r="H48" s="22">
        <f t="shared" si="25"/>
        <v>1</v>
      </c>
      <c r="I48" s="22">
        <f t="shared" si="25"/>
        <v>1</v>
      </c>
      <c r="J48" s="22">
        <f t="shared" si="25"/>
        <v>1</v>
      </c>
      <c r="K48" s="22">
        <f t="shared" si="25"/>
        <v>1</v>
      </c>
      <c r="L48" s="22">
        <f>IF(L47&lt;1,0,1)</f>
        <v>1</v>
      </c>
      <c r="M48" s="22">
        <f>IF(M47&lt;1,0,1)</f>
        <v>1</v>
      </c>
      <c r="N48" s="22">
        <f>IF(N47&lt;1,0,1)</f>
        <v>1</v>
      </c>
      <c r="O48" s="22">
        <f t="shared" si="25"/>
        <v>1</v>
      </c>
      <c r="P48" s="22">
        <f>IF(P47&lt;1,0,1)</f>
        <v>1</v>
      </c>
      <c r="Q48" s="22">
        <f t="shared" si="25"/>
        <v>1</v>
      </c>
      <c r="R48" s="22">
        <f t="shared" si="25"/>
        <v>1</v>
      </c>
      <c r="S48" s="22">
        <f t="shared" si="25"/>
        <v>1</v>
      </c>
      <c r="T48" s="22">
        <f t="shared" si="25"/>
        <v>1</v>
      </c>
      <c r="U48" s="22">
        <f t="shared" si="25"/>
        <v>1</v>
      </c>
      <c r="V48" s="22">
        <f t="shared" si="25"/>
        <v>1</v>
      </c>
      <c r="W48" s="22">
        <f t="shared" si="25"/>
        <v>1</v>
      </c>
      <c r="X48" s="22">
        <f t="shared" si="25"/>
        <v>1</v>
      </c>
      <c r="Y48" s="22">
        <f t="shared" si="25"/>
        <v>1</v>
      </c>
      <c r="Z48" s="22">
        <f t="shared" si="25"/>
        <v>1</v>
      </c>
      <c r="AA48" s="22">
        <f t="shared" si="25"/>
        <v>1</v>
      </c>
      <c r="AB48" s="22">
        <f t="shared" si="25"/>
        <v>1</v>
      </c>
      <c r="AC48" s="22">
        <f t="shared" si="25"/>
        <v>1</v>
      </c>
      <c r="AD48" s="22">
        <f t="shared" si="25"/>
        <v>1</v>
      </c>
      <c r="AE48" s="22">
        <f t="shared" si="25"/>
        <v>1</v>
      </c>
      <c r="AF48" s="22">
        <f t="shared" si="25"/>
        <v>1</v>
      </c>
      <c r="AG48" s="22">
        <f t="shared" si="25"/>
        <v>1</v>
      </c>
      <c r="AH48" s="22">
        <f t="shared" si="25"/>
        <v>1</v>
      </c>
      <c r="AI48" s="22">
        <f t="shared" si="25"/>
        <v>1</v>
      </c>
      <c r="AJ48" s="22">
        <f t="shared" si="25"/>
        <v>1</v>
      </c>
      <c r="AK48" s="22">
        <f t="shared" si="25"/>
        <v>1</v>
      </c>
      <c r="AL48" s="59">
        <f t="shared" si="25"/>
        <v>1</v>
      </c>
    </row>
    <row r="49" spans="2:38">
      <c r="B49" s="264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59"/>
    </row>
    <row r="50" spans="2:38">
      <c r="B50" s="264"/>
      <c r="C50" s="22"/>
      <c r="D50" s="22">
        <f t="shared" ref="D50:AL50" si="26">IF(D47&gt;C30,-C30,-D47)</f>
        <v>0</v>
      </c>
      <c r="E50" s="22">
        <f t="shared" si="26"/>
        <v>7.1054273576010019E-14</v>
      </c>
      <c r="F50" s="22">
        <f t="shared" si="26"/>
        <v>-1.1368683772161603E-13</v>
      </c>
      <c r="G50" s="22">
        <f t="shared" si="26"/>
        <v>-61.597457451377863</v>
      </c>
      <c r="H50" s="22">
        <f t="shared" si="26"/>
        <v>-135.98837784316362</v>
      </c>
      <c r="I50" s="22">
        <f t="shared" si="26"/>
        <v>-35.901418416313845</v>
      </c>
      <c r="J50" s="22">
        <f t="shared" si="26"/>
        <v>0</v>
      </c>
      <c r="K50" s="22">
        <f t="shared" si="26"/>
        <v>0</v>
      </c>
      <c r="L50" s="22">
        <f t="shared" si="26"/>
        <v>0</v>
      </c>
      <c r="M50" s="22">
        <f t="shared" si="26"/>
        <v>0</v>
      </c>
      <c r="N50" s="22">
        <f t="shared" si="26"/>
        <v>0</v>
      </c>
      <c r="O50" s="22">
        <f t="shared" si="26"/>
        <v>0</v>
      </c>
      <c r="P50" s="22">
        <f t="shared" si="26"/>
        <v>0</v>
      </c>
      <c r="Q50" s="22">
        <f t="shared" si="26"/>
        <v>0</v>
      </c>
      <c r="R50" s="22">
        <f t="shared" si="26"/>
        <v>0</v>
      </c>
      <c r="S50" s="22">
        <f t="shared" si="26"/>
        <v>0</v>
      </c>
      <c r="T50" s="22">
        <f t="shared" si="26"/>
        <v>0</v>
      </c>
      <c r="U50" s="22">
        <f t="shared" si="26"/>
        <v>0</v>
      </c>
      <c r="V50" s="22">
        <f t="shared" si="26"/>
        <v>0</v>
      </c>
      <c r="W50" s="22">
        <f t="shared" si="26"/>
        <v>0</v>
      </c>
      <c r="X50" s="22">
        <f t="shared" si="26"/>
        <v>0</v>
      </c>
      <c r="Y50" s="22">
        <f t="shared" si="26"/>
        <v>0</v>
      </c>
      <c r="Z50" s="22">
        <f t="shared" si="26"/>
        <v>0</v>
      </c>
      <c r="AA50" s="22">
        <f t="shared" si="26"/>
        <v>0</v>
      </c>
      <c r="AB50" s="22">
        <f t="shared" si="26"/>
        <v>0</v>
      </c>
      <c r="AC50" s="22">
        <f t="shared" si="26"/>
        <v>0</v>
      </c>
      <c r="AD50" s="22">
        <f t="shared" si="26"/>
        <v>0</v>
      </c>
      <c r="AE50" s="22">
        <f t="shared" si="26"/>
        <v>0</v>
      </c>
      <c r="AF50" s="22">
        <f t="shared" si="26"/>
        <v>0</v>
      </c>
      <c r="AG50" s="22">
        <f t="shared" si="26"/>
        <v>0</v>
      </c>
      <c r="AH50" s="22">
        <f t="shared" si="26"/>
        <v>0</v>
      </c>
      <c r="AI50" s="22">
        <f t="shared" si="26"/>
        <v>0</v>
      </c>
      <c r="AJ50" s="22">
        <f t="shared" si="26"/>
        <v>0</v>
      </c>
      <c r="AK50" s="22">
        <f t="shared" si="26"/>
        <v>0</v>
      </c>
      <c r="AL50" s="59">
        <f t="shared" si="26"/>
        <v>0</v>
      </c>
    </row>
    <row r="51" spans="2:38">
      <c r="B51" s="264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59"/>
    </row>
    <row r="52" spans="2:38">
      <c r="B52" s="265"/>
      <c r="C52" s="266"/>
      <c r="D52" s="266">
        <f>D46+D50</f>
        <v>-1568.3200000000002</v>
      </c>
      <c r="E52" s="266">
        <f t="shared" ref="E52:AL52" si="27">E46+E50</f>
        <v>-1631.0528000000004</v>
      </c>
      <c r="F52" s="266">
        <f t="shared" si="27"/>
        <v>-1696.2949120000003</v>
      </c>
      <c r="G52" s="266">
        <f t="shared" si="27"/>
        <v>-1764.1467084800006</v>
      </c>
      <c r="H52" s="266">
        <f>H46+H50</f>
        <v>-1834.7125768192004</v>
      </c>
      <c r="I52" s="266">
        <f>I46+I50</f>
        <v>-1730.6475632576617</v>
      </c>
      <c r="J52" s="266">
        <f>J46+J50</f>
        <v>-1704.8052498720156</v>
      </c>
      <c r="K52" s="266">
        <f>K46+K50</f>
        <v>-1722.8721763771864</v>
      </c>
      <c r="L52" s="266">
        <f t="shared" si="27"/>
        <v>-1745.6718026217404</v>
      </c>
      <c r="M52" s="266">
        <f>M46+M50</f>
        <v>-1773.0726347809198</v>
      </c>
      <c r="N52" s="266">
        <f>N46+N50</f>
        <v>-1804.963583422121</v>
      </c>
      <c r="O52" s="266">
        <f t="shared" si="27"/>
        <v>-1841.2527265489734</v>
      </c>
      <c r="P52" s="266">
        <f>P46+P50</f>
        <v>-1881.8661874177026</v>
      </c>
      <c r="Q52" s="266">
        <f t="shared" si="27"/>
        <v>-1926.7471185766394</v>
      </c>
      <c r="R52" s="266">
        <f t="shared" si="27"/>
        <v>-1975.8547842889552</v>
      </c>
      <c r="S52" s="266">
        <f t="shared" si="27"/>
        <v>-2029.1637341522237</v>
      </c>
      <c r="T52" s="266">
        <f t="shared" si="27"/>
        <v>-2086.6630613306861</v>
      </c>
      <c r="U52" s="266">
        <f t="shared" si="27"/>
        <v>-2148.3557393712972</v>
      </c>
      <c r="V52" s="266">
        <f t="shared" si="27"/>
        <v>-2214.2580320865418</v>
      </c>
      <c r="W52" s="266">
        <f t="shared" si="27"/>
        <v>-2284.3989714591653</v>
      </c>
      <c r="X52" s="266">
        <f t="shared" si="27"/>
        <v>-2358.8198989595603</v>
      </c>
      <c r="Y52" s="266">
        <f t="shared" si="27"/>
        <v>-2437.5740660686092</v>
      </c>
      <c r="Z52" s="266">
        <f t="shared" si="27"/>
        <v>-2520.7262901699664</v>
      </c>
      <c r="AA52" s="266">
        <f t="shared" si="27"/>
        <v>-2608.3526623186895</v>
      </c>
      <c r="AB52" s="266">
        <f t="shared" si="27"/>
        <v>-2700.5403037100077</v>
      </c>
      <c r="AC52" s="266">
        <f t="shared" si="27"/>
        <v>-2797.3871679650924</v>
      </c>
      <c r="AD52" s="266">
        <f t="shared" si="27"/>
        <v>-2899.0018866218452</v>
      </c>
      <c r="AE52" s="266">
        <f t="shared" si="27"/>
        <v>-3005.5036554698167</v>
      </c>
      <c r="AF52" s="266">
        <f t="shared" si="27"/>
        <v>-3117.0221596010601</v>
      </c>
      <c r="AG52" s="266">
        <f t="shared" si="27"/>
        <v>-3233.6975352645568</v>
      </c>
      <c r="AH52" s="266">
        <f t="shared" si="27"/>
        <v>-3355.6803668122361</v>
      </c>
      <c r="AI52" s="266">
        <f t="shared" si="27"/>
        <v>-3483.1317172108552</v>
      </c>
      <c r="AJ52" s="266">
        <f t="shared" si="27"/>
        <v>-3616.223190767329</v>
      </c>
      <c r="AK52" s="266">
        <f t="shared" si="27"/>
        <v>-3755.1370268766186</v>
      </c>
      <c r="AL52" s="267">
        <f t="shared" si="27"/>
        <v>-3900.0662237519923</v>
      </c>
    </row>
    <row r="53" spans="2:38">
      <c r="B53" s="8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>
      <c r="B54" s="87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>
      <c r="B55" s="87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>
      <c r="B56" s="87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>
      <c r="B57" s="87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>
      <c r="B58" s="87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2:38">
      <c r="B59" s="87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>
      <c r="B60" s="87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>
      <c r="B61" s="87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>
      <c r="B62" s="87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>
      <c r="B63" s="87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  <row r="64" spans="2:38">
      <c r="B64" s="87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2:38">
      <c r="B65" s="87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2:38">
      <c r="B66" s="87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2:38">
      <c r="B67" s="87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</row>
    <row r="68" spans="2:38">
      <c r="B68" s="87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</row>
    <row r="69" spans="2:38">
      <c r="B69" s="87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</row>
    <row r="70" spans="2:38">
      <c r="B70" s="87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</row>
    <row r="71" spans="2:38">
      <c r="B71" s="87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</row>
    <row r="72" spans="2:38">
      <c r="B72" s="87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2:38">
      <c r="B73" s="87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2:38">
      <c r="B74" s="87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</row>
    <row r="75" spans="2:38">
      <c r="B75" s="87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</row>
    <row r="76" spans="2:38">
      <c r="B76" s="87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</row>
    <row r="77" spans="2:38">
      <c r="B77" s="87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</row>
    <row r="78" spans="2:38">
      <c r="B78" s="87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</row>
    <row r="79" spans="2:38">
      <c r="B79" s="87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</row>
    <row r="80" spans="2:38">
      <c r="B80" s="87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2:38">
      <c r="B81" s="87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2:38">
      <c r="B82" s="87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2:38">
      <c r="B83" s="87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2:38">
      <c r="B84" s="87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2:38">
      <c r="B85" s="87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2:38">
      <c r="B86" s="87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2:38">
      <c r="B87" s="87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2:38">
      <c r="B88" s="87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2:38">
      <c r="B89" s="87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2:38">
      <c r="B90" s="87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</row>
    <row r="91" spans="2:38">
      <c r="B91" s="87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</row>
    <row r="92" spans="2:38">
      <c r="B92" s="87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</row>
    <row r="93" spans="2:38">
      <c r="B93" s="87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</row>
    <row r="94" spans="2:38">
      <c r="B94" s="87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</row>
    <row r="95" spans="2:38">
      <c r="B95" s="87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</row>
    <row r="96" spans="2:38">
      <c r="B96" s="87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</row>
    <row r="97" spans="2:38">
      <c r="B97" s="87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</row>
    <row r="98" spans="2:38">
      <c r="B98" s="87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</row>
    <row r="99" spans="2:38">
      <c r="B99" s="87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</row>
    <row r="100" spans="2:38">
      <c r="B100" s="87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</row>
    <row r="101" spans="2:38">
      <c r="B101" s="87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</row>
    <row r="102" spans="2:38">
      <c r="B102" s="87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2:38">
      <c r="B103" s="87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</row>
    <row r="104" spans="2:38">
      <c r="B104" s="87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</row>
    <row r="105" spans="2:38">
      <c r="B105" s="87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</row>
    <row r="106" spans="2:38">
      <c r="B106" s="87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</row>
    <row r="107" spans="2:38">
      <c r="B107" s="87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</row>
    <row r="108" spans="2:38">
      <c r="B108" s="87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</row>
    <row r="109" spans="2:38">
      <c r="B109" s="87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</row>
    <row r="110" spans="2:38">
      <c r="B110" s="87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</row>
    <row r="111" spans="2:38">
      <c r="B111" s="87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</row>
    <row r="112" spans="2:38">
      <c r="B112" s="87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</row>
    <row r="113" spans="2:38">
      <c r="B113" s="87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</row>
    <row r="114" spans="2:38">
      <c r="B114" s="87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</row>
    <row r="115" spans="2:38">
      <c r="B115" s="87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</row>
    <row r="116" spans="2:38">
      <c r="B116" s="87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</row>
    <row r="117" spans="2:38">
      <c r="B117" s="87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</row>
    <row r="118" spans="2:38">
      <c r="B118" s="87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</row>
    <row r="119" spans="2:38">
      <c r="B119" s="87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</row>
    <row r="120" spans="2:38">
      <c r="B120" s="87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</row>
    <row r="121" spans="2:38">
      <c r="B121" s="87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Summary</vt:lpstr>
      <vt:lpstr>Province</vt:lpstr>
      <vt:lpstr>Hydro</vt:lpstr>
      <vt:lpstr>Valuation</vt:lpstr>
      <vt:lpstr>Tax</vt:lpstr>
      <vt:lpstr>Valuation!Print_Area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Stephenson, Matthew</cp:lastModifiedBy>
  <cp:lastPrinted>2015-07-27T15:37:58Z</cp:lastPrinted>
  <dcterms:created xsi:type="dcterms:W3CDTF">2015-06-08T17:34:20Z</dcterms:created>
  <dcterms:modified xsi:type="dcterms:W3CDTF">2015-11-27T17:16:22Z</dcterms:modified>
</cp:coreProperties>
</file>